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otenaypeaks.sharepoint.com/sites/BBAProgram/Shared Documents/Education/Learning Pathways/Financial Fundamentals Learning Pathway/PDFs and Protected Spreadsheets - KAs and Website/"/>
    </mc:Choice>
  </mc:AlternateContent>
  <xr:revisionPtr revIDLastSave="5" documentId="8_{B29EB188-4755-49F3-86DD-0FD9FB146EFF}" xr6:coauthVersionLast="47" xr6:coauthVersionMax="47" xr10:uidLastSave="{002985A1-B38A-485F-AE8D-3384D3B4F35F}"/>
  <bookViews>
    <workbookView xWindow="28680" yWindow="-120" windowWidth="29040" windowHeight="15720" activeTab="3" xr2:uid="{403FF024-F4FF-FD44-8D14-B672E2DFE4E9}"/>
  </bookViews>
  <sheets>
    <sheet name="TTM Service Co" sheetId="4" r:id="rId1"/>
    <sheet name="TTM Serv w GM" sheetId="9" r:id="rId2"/>
    <sheet name="TTM Product Co" sheetId="8" r:id="rId3"/>
    <sheet name="TTM Prod w GM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10" l="1"/>
  <c r="D110" i="10"/>
  <c r="E110" i="10"/>
  <c r="F110" i="10"/>
  <c r="G110" i="10"/>
  <c r="H110" i="10"/>
  <c r="I110" i="10"/>
  <c r="J110" i="10"/>
  <c r="K110" i="10"/>
  <c r="L110" i="10"/>
  <c r="M110" i="10"/>
  <c r="N110" i="10"/>
  <c r="B110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B109" i="10"/>
  <c r="N102" i="10"/>
  <c r="N103" i="10"/>
  <c r="N104" i="10"/>
  <c r="N105" i="10"/>
  <c r="N106" i="10"/>
  <c r="N107" i="10"/>
  <c r="N108" i="10"/>
  <c r="N101" i="10"/>
  <c r="N99" i="10"/>
  <c r="N97" i="10"/>
  <c r="N98" i="10"/>
  <c r="N100" i="10"/>
  <c r="N89" i="10"/>
  <c r="N90" i="10"/>
  <c r="N91" i="10"/>
  <c r="N92" i="10"/>
  <c r="N93" i="10"/>
  <c r="N94" i="10"/>
  <c r="N95" i="10"/>
  <c r="N96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B80" i="10"/>
  <c r="N77" i="10"/>
  <c r="N78" i="10"/>
  <c r="N79" i="10"/>
  <c r="N76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B75" i="10"/>
  <c r="N71" i="10"/>
  <c r="N72" i="10"/>
  <c r="N73" i="10"/>
  <c r="N74" i="10"/>
  <c r="N65" i="10"/>
  <c r="N66" i="10"/>
  <c r="N67" i="10"/>
  <c r="N68" i="10"/>
  <c r="N69" i="10"/>
  <c r="N70" i="10"/>
  <c r="N64" i="10"/>
  <c r="N57" i="10"/>
  <c r="N58" i="10"/>
  <c r="N59" i="10"/>
  <c r="N60" i="10"/>
  <c r="N61" i="10"/>
  <c r="N62" i="10"/>
  <c r="N63" i="10"/>
  <c r="N56" i="10"/>
  <c r="N50" i="10"/>
  <c r="N51" i="10"/>
  <c r="N52" i="10"/>
  <c r="N53" i="10"/>
  <c r="N54" i="10"/>
  <c r="N49" i="10"/>
  <c r="N41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B19" i="10"/>
  <c r="N18" i="10"/>
  <c r="N20" i="10"/>
  <c r="N21" i="10"/>
  <c r="N22" i="10"/>
  <c r="N17" i="10"/>
  <c r="C15" i="10"/>
  <c r="D15" i="10"/>
  <c r="E15" i="10"/>
  <c r="F15" i="10"/>
  <c r="G15" i="10"/>
  <c r="H15" i="10"/>
  <c r="I15" i="10"/>
  <c r="J15" i="10"/>
  <c r="K15" i="10"/>
  <c r="L15" i="10"/>
  <c r="M15" i="10"/>
  <c r="B15" i="10"/>
  <c r="N14" i="10"/>
  <c r="N13" i="10"/>
  <c r="N15" i="10" s="1"/>
  <c r="C10" i="10"/>
  <c r="D10" i="10"/>
  <c r="E10" i="10"/>
  <c r="F10" i="10"/>
  <c r="G10" i="10"/>
  <c r="H10" i="10"/>
  <c r="I10" i="10"/>
  <c r="J10" i="10"/>
  <c r="K10" i="10"/>
  <c r="L10" i="10"/>
  <c r="M10" i="10"/>
  <c r="B10" i="10"/>
  <c r="N8" i="10"/>
  <c r="N9" i="10"/>
  <c r="N7" i="10"/>
  <c r="C107" i="8"/>
  <c r="D107" i="8"/>
  <c r="E107" i="8"/>
  <c r="F107" i="8"/>
  <c r="G107" i="8"/>
  <c r="H107" i="8"/>
  <c r="I107" i="8"/>
  <c r="J107" i="8"/>
  <c r="K107" i="8"/>
  <c r="L107" i="8"/>
  <c r="M107" i="8"/>
  <c r="N107" i="8"/>
  <c r="B107" i="8"/>
  <c r="N106" i="8"/>
  <c r="C106" i="8"/>
  <c r="D106" i="8"/>
  <c r="E106" i="8"/>
  <c r="F106" i="8"/>
  <c r="G106" i="8"/>
  <c r="H106" i="8"/>
  <c r="I106" i="8"/>
  <c r="J106" i="8"/>
  <c r="K106" i="8"/>
  <c r="L106" i="8"/>
  <c r="M106" i="8"/>
  <c r="B106" i="8"/>
  <c r="N100" i="8"/>
  <c r="N99" i="8"/>
  <c r="C97" i="8"/>
  <c r="D97" i="8"/>
  <c r="E97" i="8"/>
  <c r="F97" i="8"/>
  <c r="G97" i="8"/>
  <c r="H97" i="8"/>
  <c r="I97" i="8"/>
  <c r="J97" i="8"/>
  <c r="K97" i="8"/>
  <c r="L97" i="8"/>
  <c r="M97" i="8"/>
  <c r="N97" i="8"/>
  <c r="B97" i="8"/>
  <c r="N95" i="8"/>
  <c r="N96" i="8"/>
  <c r="N94" i="8"/>
  <c r="N93" i="8"/>
  <c r="C93" i="8"/>
  <c r="D93" i="8"/>
  <c r="E93" i="8"/>
  <c r="F93" i="8"/>
  <c r="G93" i="8"/>
  <c r="H93" i="8"/>
  <c r="I93" i="8"/>
  <c r="J93" i="8"/>
  <c r="K93" i="8"/>
  <c r="L93" i="8"/>
  <c r="M93" i="8"/>
  <c r="B93" i="8"/>
  <c r="N87" i="8"/>
  <c r="N88" i="8"/>
  <c r="N89" i="8"/>
  <c r="N90" i="8"/>
  <c r="N91" i="8"/>
  <c r="N92" i="8"/>
  <c r="N86" i="8"/>
  <c r="N85" i="8"/>
  <c r="N81" i="8"/>
  <c r="N82" i="8"/>
  <c r="N83" i="8"/>
  <c r="N84" i="8"/>
  <c r="N80" i="8"/>
  <c r="C85" i="8"/>
  <c r="D85" i="8"/>
  <c r="E85" i="8"/>
  <c r="F85" i="8"/>
  <c r="G85" i="8"/>
  <c r="H85" i="8"/>
  <c r="I85" i="8"/>
  <c r="J85" i="8"/>
  <c r="K85" i="8"/>
  <c r="L85" i="8"/>
  <c r="M85" i="8"/>
  <c r="B85" i="8"/>
  <c r="C78" i="8"/>
  <c r="D78" i="8"/>
  <c r="E78" i="8"/>
  <c r="F78" i="8"/>
  <c r="G78" i="8"/>
  <c r="H78" i="8"/>
  <c r="I78" i="8"/>
  <c r="J78" i="8"/>
  <c r="K78" i="8"/>
  <c r="L78" i="8"/>
  <c r="M78" i="8"/>
  <c r="B78" i="8"/>
  <c r="N78" i="8"/>
  <c r="N75" i="8"/>
  <c r="N76" i="8"/>
  <c r="N77" i="8"/>
  <c r="N74" i="8"/>
  <c r="N71" i="8"/>
  <c r="N72" i="8"/>
  <c r="N70" i="8"/>
  <c r="C73" i="8"/>
  <c r="D73" i="8"/>
  <c r="E73" i="8"/>
  <c r="F73" i="8"/>
  <c r="G73" i="8"/>
  <c r="H73" i="8"/>
  <c r="I73" i="8"/>
  <c r="J73" i="8"/>
  <c r="K73" i="8"/>
  <c r="L73" i="8"/>
  <c r="M73" i="8"/>
  <c r="N73" i="8"/>
  <c r="B73" i="8"/>
  <c r="C61" i="8"/>
  <c r="D61" i="8"/>
  <c r="E61" i="8"/>
  <c r="F61" i="8"/>
  <c r="G61" i="8"/>
  <c r="H61" i="8"/>
  <c r="I61" i="8"/>
  <c r="J61" i="8"/>
  <c r="K61" i="8"/>
  <c r="L61" i="8"/>
  <c r="M61" i="8"/>
  <c r="N61" i="8"/>
  <c r="B61" i="8"/>
  <c r="N50" i="8"/>
  <c r="N51" i="8"/>
  <c r="N52" i="8"/>
  <c r="N49" i="8"/>
  <c r="C53" i="8"/>
  <c r="D53" i="8"/>
  <c r="E53" i="8"/>
  <c r="F53" i="8"/>
  <c r="G53" i="8"/>
  <c r="H53" i="8"/>
  <c r="I53" i="8"/>
  <c r="J53" i="8"/>
  <c r="K53" i="8"/>
  <c r="L53" i="8"/>
  <c r="M53" i="8"/>
  <c r="N53" i="8"/>
  <c r="B53" i="8"/>
  <c r="C18" i="8"/>
  <c r="D18" i="8"/>
  <c r="E18" i="8"/>
  <c r="F18" i="8"/>
  <c r="G18" i="8"/>
  <c r="H18" i="8"/>
  <c r="I18" i="8"/>
  <c r="J18" i="8"/>
  <c r="K18" i="8"/>
  <c r="L18" i="8"/>
  <c r="M18" i="8"/>
  <c r="N18" i="8"/>
  <c r="B18" i="8"/>
  <c r="C14" i="8"/>
  <c r="D14" i="8"/>
  <c r="E14" i="8"/>
  <c r="F14" i="8"/>
  <c r="G14" i="8"/>
  <c r="H14" i="8"/>
  <c r="I14" i="8"/>
  <c r="J14" i="8"/>
  <c r="K14" i="8"/>
  <c r="L14" i="8"/>
  <c r="M14" i="8"/>
  <c r="N14" i="8"/>
  <c r="B14" i="8"/>
  <c r="C10" i="8"/>
  <c r="D10" i="8"/>
  <c r="E10" i="8"/>
  <c r="F10" i="8"/>
  <c r="G10" i="8"/>
  <c r="H10" i="8"/>
  <c r="I10" i="8"/>
  <c r="J10" i="8"/>
  <c r="K10" i="8"/>
  <c r="L10" i="8"/>
  <c r="M10" i="8"/>
  <c r="N10" i="8"/>
  <c r="B10" i="8"/>
  <c r="N10" i="10" l="1"/>
  <c r="N21" i="8"/>
  <c r="N17" i="8"/>
  <c r="N16" i="8"/>
  <c r="N13" i="8"/>
  <c r="S9" i="8"/>
  <c r="N12" i="8"/>
  <c r="N8" i="8"/>
  <c r="N9" i="8"/>
  <c r="N7" i="8"/>
  <c r="C50" i="10"/>
  <c r="D50" i="10"/>
  <c r="E50" i="10"/>
  <c r="F50" i="10"/>
  <c r="G50" i="10"/>
  <c r="H50" i="10"/>
  <c r="I50" i="10"/>
  <c r="J50" i="10"/>
  <c r="K50" i="10"/>
  <c r="L50" i="10"/>
  <c r="M50" i="10"/>
  <c r="B50" i="10"/>
  <c r="C54" i="10"/>
  <c r="C55" i="10" s="1"/>
  <c r="D54" i="10"/>
  <c r="E54" i="10"/>
  <c r="F54" i="10"/>
  <c r="G54" i="10"/>
  <c r="H54" i="10"/>
  <c r="I54" i="10"/>
  <c r="J54" i="10"/>
  <c r="K54" i="10"/>
  <c r="L54" i="10"/>
  <c r="M54" i="10"/>
  <c r="M55" i="10" s="1"/>
  <c r="B54" i="10"/>
  <c r="N84" i="10"/>
  <c r="N85" i="10"/>
  <c r="N86" i="10"/>
  <c r="N87" i="10"/>
  <c r="N82" i="10"/>
  <c r="C83" i="10"/>
  <c r="C88" i="10" s="1"/>
  <c r="D83" i="10"/>
  <c r="D88" i="10" s="1"/>
  <c r="E83" i="10"/>
  <c r="E88" i="10" s="1"/>
  <c r="F83" i="10"/>
  <c r="F88" i="10" s="1"/>
  <c r="G83" i="10"/>
  <c r="G88" i="10" s="1"/>
  <c r="H83" i="10"/>
  <c r="H88" i="10" s="1"/>
  <c r="I83" i="10"/>
  <c r="I88" i="10" s="1"/>
  <c r="J83" i="10"/>
  <c r="J88" i="10" s="1"/>
  <c r="K83" i="10"/>
  <c r="K88" i="10" s="1"/>
  <c r="L83" i="10"/>
  <c r="L88" i="10" s="1"/>
  <c r="M83" i="10"/>
  <c r="M88" i="10" s="1"/>
  <c r="B83" i="10"/>
  <c r="C41" i="10"/>
  <c r="C42" i="10" s="1"/>
  <c r="D41" i="10"/>
  <c r="D42" i="10" s="1"/>
  <c r="E41" i="10"/>
  <c r="E42" i="10" s="1"/>
  <c r="F41" i="10"/>
  <c r="F42" i="10" s="1"/>
  <c r="G41" i="10"/>
  <c r="G42" i="10" s="1"/>
  <c r="H41" i="10"/>
  <c r="H42" i="10" s="1"/>
  <c r="I41" i="10"/>
  <c r="I42" i="10" s="1"/>
  <c r="J41" i="10"/>
  <c r="J42" i="10" s="1"/>
  <c r="K41" i="10"/>
  <c r="K42" i="10" s="1"/>
  <c r="L41" i="10"/>
  <c r="L42" i="10" s="1"/>
  <c r="M41" i="10"/>
  <c r="M42" i="10" s="1"/>
  <c r="B41" i="10"/>
  <c r="B42" i="10" s="1"/>
  <c r="C69" i="9"/>
  <c r="D69" i="9"/>
  <c r="E69" i="9"/>
  <c r="F69" i="9"/>
  <c r="G69" i="9"/>
  <c r="H69" i="9"/>
  <c r="I69" i="9"/>
  <c r="J69" i="9"/>
  <c r="K69" i="9"/>
  <c r="L69" i="9"/>
  <c r="M69" i="9"/>
  <c r="N69" i="9"/>
  <c r="B69" i="9"/>
  <c r="C61" i="9"/>
  <c r="D61" i="9"/>
  <c r="E61" i="9"/>
  <c r="F61" i="9"/>
  <c r="G61" i="9"/>
  <c r="H61" i="9"/>
  <c r="I61" i="9"/>
  <c r="J61" i="9"/>
  <c r="K61" i="9"/>
  <c r="L61" i="9"/>
  <c r="M61" i="9"/>
  <c r="N61" i="9"/>
  <c r="B61" i="9"/>
  <c r="C53" i="9"/>
  <c r="D53" i="9"/>
  <c r="E53" i="9"/>
  <c r="F53" i="9"/>
  <c r="G53" i="9"/>
  <c r="H53" i="9"/>
  <c r="I53" i="9"/>
  <c r="J53" i="9"/>
  <c r="K53" i="9"/>
  <c r="L53" i="9"/>
  <c r="M53" i="9"/>
  <c r="N53" i="9"/>
  <c r="B53" i="9"/>
  <c r="C45" i="9"/>
  <c r="D45" i="9"/>
  <c r="E45" i="9"/>
  <c r="F45" i="9"/>
  <c r="G45" i="9"/>
  <c r="H45" i="9"/>
  <c r="I45" i="9"/>
  <c r="J45" i="9"/>
  <c r="K45" i="9"/>
  <c r="L45" i="9"/>
  <c r="M45" i="9"/>
  <c r="N45" i="9"/>
  <c r="B45" i="9"/>
  <c r="C38" i="9"/>
  <c r="D38" i="9"/>
  <c r="E38" i="9"/>
  <c r="F38" i="9"/>
  <c r="G38" i="9"/>
  <c r="H38" i="9"/>
  <c r="I38" i="9"/>
  <c r="J38" i="9"/>
  <c r="K38" i="9"/>
  <c r="L38" i="9"/>
  <c r="M38" i="9"/>
  <c r="N38" i="9"/>
  <c r="B38" i="9"/>
  <c r="C31" i="9"/>
  <c r="D31" i="9"/>
  <c r="E31" i="9"/>
  <c r="F31" i="9"/>
  <c r="G31" i="9"/>
  <c r="H31" i="9"/>
  <c r="I31" i="9"/>
  <c r="J31" i="9"/>
  <c r="K31" i="9"/>
  <c r="L31" i="9"/>
  <c r="M31" i="9"/>
  <c r="N31" i="9"/>
  <c r="B31" i="9"/>
  <c r="T4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B12" i="10"/>
  <c r="C6" i="10"/>
  <c r="D6" i="10"/>
  <c r="E6" i="10"/>
  <c r="F6" i="10"/>
  <c r="G6" i="10"/>
  <c r="H6" i="10"/>
  <c r="I6" i="10"/>
  <c r="J6" i="10"/>
  <c r="K6" i="10"/>
  <c r="L6" i="10"/>
  <c r="M6" i="10"/>
  <c r="N6" i="10"/>
  <c r="B6" i="10"/>
  <c r="N143" i="10"/>
  <c r="M142" i="10"/>
  <c r="L142" i="10"/>
  <c r="K142" i="10"/>
  <c r="J142" i="10"/>
  <c r="I142" i="10"/>
  <c r="H142" i="10"/>
  <c r="G142" i="10"/>
  <c r="F142" i="10"/>
  <c r="E142" i="10"/>
  <c r="D142" i="10"/>
  <c r="C142" i="10"/>
  <c r="B142" i="10"/>
  <c r="N141" i="10"/>
  <c r="N140" i="10"/>
  <c r="N139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N136" i="10"/>
  <c r="N135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N132" i="10"/>
  <c r="N131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N128" i="10"/>
  <c r="N127" i="10"/>
  <c r="N126" i="10"/>
  <c r="L23" i="10"/>
  <c r="K23" i="10"/>
  <c r="J23" i="10"/>
  <c r="I23" i="10"/>
  <c r="H23" i="10"/>
  <c r="G23" i="10"/>
  <c r="F23" i="10"/>
  <c r="E23" i="10"/>
  <c r="D23" i="10"/>
  <c r="C23" i="10"/>
  <c r="B23" i="10"/>
  <c r="N23" i="10" s="1"/>
  <c r="M22" i="10"/>
  <c r="M23" i="10" s="1"/>
  <c r="S10" i="10"/>
  <c r="S9" i="10"/>
  <c r="O17" i="4"/>
  <c r="O16" i="4"/>
  <c r="O13" i="4"/>
  <c r="O12" i="4"/>
  <c r="O9" i="4"/>
  <c r="O8" i="4"/>
  <c r="O7" i="4"/>
  <c r="C29" i="8"/>
  <c r="D29" i="8"/>
  <c r="E29" i="8"/>
  <c r="F29" i="8"/>
  <c r="G29" i="8"/>
  <c r="H29" i="8"/>
  <c r="I29" i="8"/>
  <c r="J29" i="8"/>
  <c r="K29" i="8"/>
  <c r="L29" i="8"/>
  <c r="M29" i="8"/>
  <c r="B29" i="8"/>
  <c r="C22" i="8"/>
  <c r="D22" i="8"/>
  <c r="E22" i="8"/>
  <c r="F22" i="8"/>
  <c r="G22" i="8"/>
  <c r="H22" i="8"/>
  <c r="I22" i="8"/>
  <c r="J22" i="8"/>
  <c r="K22" i="8"/>
  <c r="L22" i="8"/>
  <c r="K33" i="8"/>
  <c r="L33" i="8"/>
  <c r="M33" i="8"/>
  <c r="C33" i="8"/>
  <c r="D33" i="8"/>
  <c r="E33" i="8"/>
  <c r="F33" i="8"/>
  <c r="G33" i="8"/>
  <c r="H33" i="8"/>
  <c r="I33" i="8"/>
  <c r="J33" i="8"/>
  <c r="B33" i="8"/>
  <c r="N32" i="8"/>
  <c r="N31" i="8"/>
  <c r="N43" i="8"/>
  <c r="K42" i="8"/>
  <c r="L42" i="8"/>
  <c r="M42" i="8"/>
  <c r="G42" i="8"/>
  <c r="H42" i="8"/>
  <c r="I42" i="8"/>
  <c r="J42" i="8"/>
  <c r="C42" i="8"/>
  <c r="D42" i="8"/>
  <c r="E42" i="8"/>
  <c r="F42" i="8"/>
  <c r="B42" i="8"/>
  <c r="N40" i="8"/>
  <c r="N41" i="8"/>
  <c r="N39" i="8"/>
  <c r="N42" i="8" s="1"/>
  <c r="L37" i="8"/>
  <c r="L44" i="8" s="1"/>
  <c r="L45" i="8" s="1"/>
  <c r="M37" i="8"/>
  <c r="M44" i="8" s="1"/>
  <c r="G37" i="8"/>
  <c r="G44" i="8" s="1"/>
  <c r="H37" i="8"/>
  <c r="H44" i="8" s="1"/>
  <c r="I37" i="8"/>
  <c r="I44" i="8" s="1"/>
  <c r="J37" i="8"/>
  <c r="J44" i="8" s="1"/>
  <c r="K37" i="8"/>
  <c r="K44" i="8" s="1"/>
  <c r="C37" i="8"/>
  <c r="C44" i="8" s="1"/>
  <c r="D37" i="8"/>
  <c r="D44" i="8" s="1"/>
  <c r="E37" i="8"/>
  <c r="E44" i="8" s="1"/>
  <c r="F37" i="8"/>
  <c r="F44" i="8" s="1"/>
  <c r="B37" i="8"/>
  <c r="B44" i="8" s="1"/>
  <c r="N36" i="8"/>
  <c r="N35" i="8"/>
  <c r="N37" i="8" s="1"/>
  <c r="N28" i="8"/>
  <c r="N27" i="8"/>
  <c r="N26" i="8"/>
  <c r="N29" i="8" s="1"/>
  <c r="S7" i="8" s="1"/>
  <c r="B22" i="8"/>
  <c r="M21" i="8"/>
  <c r="M22" i="8" s="1"/>
  <c r="D45" i="8" l="1"/>
  <c r="C45" i="8"/>
  <c r="C46" i="8" s="1"/>
  <c r="S10" i="8"/>
  <c r="T10" i="8" s="1"/>
  <c r="O14" i="8" s="1"/>
  <c r="N22" i="8"/>
  <c r="J45" i="8"/>
  <c r="J46" i="8" s="1"/>
  <c r="K45" i="8"/>
  <c r="H45" i="8"/>
  <c r="H46" i="8" s="1"/>
  <c r="F45" i="8"/>
  <c r="F46" i="8" s="1"/>
  <c r="I45" i="8"/>
  <c r="I116" i="8" s="1"/>
  <c r="I117" i="8" s="1"/>
  <c r="G45" i="8"/>
  <c r="G116" i="8" s="1"/>
  <c r="G117" i="8" s="1"/>
  <c r="E45" i="8"/>
  <c r="E46" i="8" s="1"/>
  <c r="F55" i="10"/>
  <c r="B55" i="10"/>
  <c r="E55" i="10"/>
  <c r="N55" i="10"/>
  <c r="D55" i="10"/>
  <c r="L55" i="10"/>
  <c r="K55" i="10"/>
  <c r="J55" i="10"/>
  <c r="I55" i="10"/>
  <c r="H55" i="10"/>
  <c r="G55" i="10"/>
  <c r="N83" i="10"/>
  <c r="N129" i="10"/>
  <c r="B88" i="10"/>
  <c r="F144" i="10"/>
  <c r="F145" i="10" s="1"/>
  <c r="F146" i="10" s="1"/>
  <c r="N88" i="10"/>
  <c r="N137" i="10"/>
  <c r="I144" i="10"/>
  <c r="I145" i="10" s="1"/>
  <c r="I146" i="10" s="1"/>
  <c r="H144" i="10"/>
  <c r="H145" i="10" s="1"/>
  <c r="H146" i="10" s="1"/>
  <c r="E144" i="10"/>
  <c r="E145" i="10" s="1"/>
  <c r="E146" i="10" s="1"/>
  <c r="N42" i="10"/>
  <c r="G144" i="10"/>
  <c r="K144" i="10"/>
  <c r="K145" i="10" s="1"/>
  <c r="K146" i="10" s="1"/>
  <c r="B144" i="10"/>
  <c r="B145" i="10" s="1"/>
  <c r="B146" i="10" s="1"/>
  <c r="L144" i="10"/>
  <c r="L145" i="10" s="1"/>
  <c r="L146" i="10" s="1"/>
  <c r="N142" i="10"/>
  <c r="J144" i="10"/>
  <c r="J145" i="10" s="1"/>
  <c r="J146" i="10" s="1"/>
  <c r="S8" i="10"/>
  <c r="O19" i="10" s="1"/>
  <c r="C144" i="10"/>
  <c r="C145" i="10" s="1"/>
  <c r="C146" i="10" s="1"/>
  <c r="M144" i="10"/>
  <c r="M145" i="10" s="1"/>
  <c r="M146" i="10" s="1"/>
  <c r="D144" i="10"/>
  <c r="D145" i="10" s="1"/>
  <c r="D146" i="10" s="1"/>
  <c r="N133" i="10"/>
  <c r="G145" i="10"/>
  <c r="G146" i="10" s="1"/>
  <c r="S7" i="10"/>
  <c r="S6" i="10" s="1"/>
  <c r="J37" i="10" s="1"/>
  <c r="J38" i="10" s="1"/>
  <c r="B37" i="10"/>
  <c r="L37" i="10"/>
  <c r="L38" i="10" s="1"/>
  <c r="T9" i="8"/>
  <c r="O10" i="8" s="1"/>
  <c r="B45" i="8"/>
  <c r="B116" i="8" s="1"/>
  <c r="B117" i="8" s="1"/>
  <c r="M45" i="8"/>
  <c r="M46" i="8"/>
  <c r="M116" i="8"/>
  <c r="M117" i="8" s="1"/>
  <c r="L46" i="8"/>
  <c r="L116" i="8"/>
  <c r="L117" i="8" s="1"/>
  <c r="K46" i="8"/>
  <c r="K116" i="8"/>
  <c r="K117" i="8" s="1"/>
  <c r="F116" i="8"/>
  <c r="F117" i="8" s="1"/>
  <c r="D46" i="8"/>
  <c r="D116" i="8"/>
  <c r="D117" i="8" s="1"/>
  <c r="S8" i="8"/>
  <c r="O18" i="8" s="1"/>
  <c r="N33" i="8"/>
  <c r="N44" i="8" s="1"/>
  <c r="M37" i="10" l="1"/>
  <c r="M38" i="10" s="1"/>
  <c r="K37" i="10"/>
  <c r="K38" i="10" s="1"/>
  <c r="B38" i="10"/>
  <c r="C116" i="8"/>
  <c r="C117" i="8" s="1"/>
  <c r="H116" i="8"/>
  <c r="H117" i="8" s="1"/>
  <c r="I46" i="8"/>
  <c r="J116" i="8"/>
  <c r="J117" i="8" s="1"/>
  <c r="N45" i="8"/>
  <c r="G46" i="8"/>
  <c r="B46" i="8"/>
  <c r="E116" i="8"/>
  <c r="E117" i="8" s="1"/>
  <c r="D29" i="10"/>
  <c r="D30" i="10" s="1"/>
  <c r="G27" i="10"/>
  <c r="K27" i="10"/>
  <c r="H27" i="10"/>
  <c r="L31" i="10"/>
  <c r="L32" i="10" s="1"/>
  <c r="B29" i="10"/>
  <c r="H29" i="10"/>
  <c r="H30" i="10" s="1"/>
  <c r="M31" i="10"/>
  <c r="M32" i="10" s="1"/>
  <c r="K31" i="10"/>
  <c r="K32" i="10" s="1"/>
  <c r="D37" i="10"/>
  <c r="D38" i="10" s="1"/>
  <c r="G29" i="10"/>
  <c r="G30" i="10" s="1"/>
  <c r="E37" i="10"/>
  <c r="E38" i="10" s="1"/>
  <c r="F29" i="10"/>
  <c r="F30" i="10" s="1"/>
  <c r="J31" i="10"/>
  <c r="J32" i="10" s="1"/>
  <c r="E29" i="10"/>
  <c r="E30" i="10" s="1"/>
  <c r="D31" i="10"/>
  <c r="D32" i="10" s="1"/>
  <c r="N144" i="10"/>
  <c r="N145" i="10" s="1"/>
  <c r="N146" i="10" s="1"/>
  <c r="J27" i="10"/>
  <c r="C31" i="10"/>
  <c r="C32" i="10" s="1"/>
  <c r="I27" i="10"/>
  <c r="C37" i="10"/>
  <c r="C38" i="10" s="1"/>
  <c r="M29" i="10"/>
  <c r="M30" i="10" s="1"/>
  <c r="I31" i="10"/>
  <c r="I32" i="10" s="1"/>
  <c r="L29" i="10"/>
  <c r="L30" i="10" s="1"/>
  <c r="H31" i="10"/>
  <c r="H32" i="10" s="1"/>
  <c r="G37" i="10"/>
  <c r="G38" i="10" s="1"/>
  <c r="K29" i="10"/>
  <c r="K30" i="10" s="1"/>
  <c r="G31" i="10"/>
  <c r="G32" i="10" s="1"/>
  <c r="H37" i="10"/>
  <c r="H38" i="10" s="1"/>
  <c r="C29" i="10"/>
  <c r="C30" i="10" s="1"/>
  <c r="F27" i="10"/>
  <c r="F37" i="10"/>
  <c r="F38" i="10" s="1"/>
  <c r="B27" i="10"/>
  <c r="E27" i="10"/>
  <c r="D27" i="10"/>
  <c r="T9" i="10"/>
  <c r="J29" i="10"/>
  <c r="J30" i="10" s="1"/>
  <c r="M27" i="10"/>
  <c r="C27" i="10"/>
  <c r="F31" i="10"/>
  <c r="F32" i="10" s="1"/>
  <c r="I37" i="10"/>
  <c r="I38" i="10" s="1"/>
  <c r="T10" i="10"/>
  <c r="I29" i="10"/>
  <c r="I30" i="10" s="1"/>
  <c r="L27" i="10"/>
  <c r="B31" i="10"/>
  <c r="E31" i="10"/>
  <c r="E32" i="10" s="1"/>
  <c r="N116" i="8"/>
  <c r="N117" i="8" s="1"/>
  <c r="N46" i="8"/>
  <c r="E33" i="10" l="1"/>
  <c r="F33" i="10"/>
  <c r="B30" i="10"/>
  <c r="N29" i="10"/>
  <c r="N30" i="10" s="1"/>
  <c r="B32" i="10"/>
  <c r="N31" i="10"/>
  <c r="N32" i="10" s="1"/>
  <c r="L33" i="10"/>
  <c r="C33" i="10"/>
  <c r="I28" i="10"/>
  <c r="I33" i="10"/>
  <c r="J28" i="10"/>
  <c r="J33" i="10"/>
  <c r="H28" i="10"/>
  <c r="H33" i="10"/>
  <c r="H34" i="10" s="1"/>
  <c r="M33" i="10"/>
  <c r="K28" i="10"/>
  <c r="K33" i="10"/>
  <c r="N37" i="10"/>
  <c r="N38" i="10" s="1"/>
  <c r="D33" i="10"/>
  <c r="B33" i="10"/>
  <c r="N27" i="10"/>
  <c r="N33" i="10" s="1"/>
  <c r="G28" i="10"/>
  <c r="G33" i="10"/>
  <c r="L28" i="10"/>
  <c r="D28" i="10"/>
  <c r="E28" i="10"/>
  <c r="B28" i="10"/>
  <c r="C28" i="10"/>
  <c r="F28" i="10"/>
  <c r="M28" i="10"/>
  <c r="N28" i="10" l="1"/>
  <c r="H44" i="10"/>
  <c r="H45" i="10" s="1"/>
  <c r="H46" i="10" s="1"/>
  <c r="E34" i="10"/>
  <c r="E44" i="10"/>
  <c r="F44" i="10"/>
  <c r="F34" i="10"/>
  <c r="N34" i="10"/>
  <c r="N44" i="10"/>
  <c r="K44" i="10"/>
  <c r="K34" i="10"/>
  <c r="G34" i="10"/>
  <c r="G44" i="10"/>
  <c r="I34" i="10"/>
  <c r="I44" i="10"/>
  <c r="L34" i="10"/>
  <c r="L44" i="10"/>
  <c r="M34" i="10"/>
  <c r="M44" i="10"/>
  <c r="D34" i="10"/>
  <c r="D44" i="10"/>
  <c r="B34" i="10"/>
  <c r="B44" i="10"/>
  <c r="C34" i="10"/>
  <c r="C44" i="10"/>
  <c r="C119" i="10" s="1"/>
  <c r="J34" i="10"/>
  <c r="J44" i="10"/>
  <c r="H119" i="10" l="1"/>
  <c r="H120" i="10" s="1"/>
  <c r="D45" i="10"/>
  <c r="D46" i="10" s="1"/>
  <c r="D119" i="10"/>
  <c r="D120" i="10" s="1"/>
  <c r="K45" i="10"/>
  <c r="K46" i="10" s="1"/>
  <c r="K119" i="10"/>
  <c r="K120" i="10" s="1"/>
  <c r="M45" i="10"/>
  <c r="M46" i="10" s="1"/>
  <c r="M119" i="10"/>
  <c r="M120" i="10" s="1"/>
  <c r="J45" i="10"/>
  <c r="J46" i="10" s="1"/>
  <c r="J119" i="10"/>
  <c r="J120" i="10" s="1"/>
  <c r="L45" i="10"/>
  <c r="L46" i="10" s="1"/>
  <c r="L119" i="10"/>
  <c r="L120" i="10" s="1"/>
  <c r="F45" i="10"/>
  <c r="F46" i="10" s="1"/>
  <c r="F119" i="10"/>
  <c r="F120" i="10" s="1"/>
  <c r="C45" i="10"/>
  <c r="C46" i="10" s="1"/>
  <c r="C120" i="10"/>
  <c r="I45" i="10"/>
  <c r="I46" i="10" s="1"/>
  <c r="I119" i="10"/>
  <c r="I120" i="10" s="1"/>
  <c r="E45" i="10"/>
  <c r="E46" i="10" s="1"/>
  <c r="E119" i="10"/>
  <c r="E120" i="10" s="1"/>
  <c r="B45" i="10"/>
  <c r="B46" i="10" s="1"/>
  <c r="B119" i="10"/>
  <c r="G45" i="10"/>
  <c r="G46" i="10" s="1"/>
  <c r="G119" i="10"/>
  <c r="G120" i="10" s="1"/>
  <c r="N45" i="10"/>
  <c r="N46" i="10" s="1"/>
  <c r="N119" i="10"/>
  <c r="N120" i="10" s="1"/>
  <c r="B120" i="10" l="1"/>
  <c r="P119" i="10"/>
</calcChain>
</file>

<file path=xl/sharedStrings.xml><?xml version="1.0" encoding="utf-8"?>
<sst xmlns="http://schemas.openxmlformats.org/spreadsheetml/2006/main" count="648" uniqueCount="244">
  <si>
    <t>Mountain Side Cleaning Inc. - Profit and Loss by Month</t>
  </si>
  <si>
    <t>April 2022 - March 2023</t>
  </si>
  <si>
    <t>Apr. 2022</t>
  </si>
  <si>
    <t>Jun. 2022</t>
  </si>
  <si>
    <t>Jul. 2022</t>
  </si>
  <si>
    <t>Aug. 2022</t>
  </si>
  <si>
    <t>Sep. 2022</t>
  </si>
  <si>
    <t>Oct. 2022</t>
  </si>
  <si>
    <t>Nov. 2022</t>
  </si>
  <si>
    <t>Dec. 2022</t>
  </si>
  <si>
    <t>Jan. 2023</t>
  </si>
  <si>
    <t>Feb. 2023</t>
  </si>
  <si>
    <t>Mar. 2023</t>
  </si>
  <si>
    <t>Total</t>
  </si>
  <si>
    <t xml:space="preserve">   INCOME</t>
  </si>
  <si>
    <t xml:space="preserve">      4050 Residential</t>
  </si>
  <si>
    <t>GM with the COGS</t>
  </si>
  <si>
    <t>Attribution</t>
  </si>
  <si>
    <t>Supplies</t>
  </si>
  <si>
    <t>Auto</t>
  </si>
  <si>
    <t>Labor</t>
  </si>
  <si>
    <t>Subs</t>
  </si>
  <si>
    <t>UnCat</t>
  </si>
  <si>
    <t>Total COGS</t>
  </si>
  <si>
    <t xml:space="preserve">         4051 Private vacations homes</t>
  </si>
  <si>
    <t xml:space="preserve">         4052 Reoccuring homeowners</t>
  </si>
  <si>
    <t xml:space="preserve">         4053 Vacation rentals (airbnb/book/vrbo)</t>
  </si>
  <si>
    <t xml:space="preserve">      Total 4050 Residential</t>
  </si>
  <si>
    <t xml:space="preserve">      4070 Commercial</t>
  </si>
  <si>
    <t xml:space="preserve">         4071 Long term contracts</t>
  </si>
  <si>
    <t xml:space="preserve">         4072 Special requests</t>
  </si>
  <si>
    <t xml:space="preserve">      Total 4070 Commercial</t>
  </si>
  <si>
    <t xml:space="preserve">      4090 Linen &amp; Laundry</t>
  </si>
  <si>
    <t xml:space="preserve">         4091 Linen service</t>
  </si>
  <si>
    <t xml:space="preserve">         4092 Laundry service</t>
  </si>
  <si>
    <t xml:space="preserve">      Total 4090 Linen &amp; Laundry</t>
  </si>
  <si>
    <t xml:space="preserve">      4015 Refunds-Allowances</t>
  </si>
  <si>
    <t xml:space="preserve">      4017 Sales - linens</t>
  </si>
  <si>
    <t xml:space="preserve">      4018 Uncategorized Income</t>
  </si>
  <si>
    <t xml:space="preserve">   Total Income</t>
  </si>
  <si>
    <t xml:space="preserve">   COST OF GOODS SOLD</t>
  </si>
  <si>
    <t xml:space="preserve">      5010 Automobile  - COGS</t>
  </si>
  <si>
    <t xml:space="preserve">         5011 Auto - Residential</t>
  </si>
  <si>
    <t xml:space="preserve">         5012 Auto - Commercial</t>
  </si>
  <si>
    <t xml:space="preserve">         5013 Auto - Linen &amp; Laundry</t>
  </si>
  <si>
    <t xml:space="preserve">      5010 Total Automobile  - COGS</t>
  </si>
  <si>
    <t xml:space="preserve">      5020 Cost of Labour - COGS</t>
  </si>
  <si>
    <t xml:space="preserve">         5021 Residential - Private vacations homes</t>
  </si>
  <si>
    <t xml:space="preserve">         5022 Residential - Reoccuring homeowners</t>
  </si>
  <si>
    <t xml:space="preserve">         5024 Residentail - Vacation rentals (airbnb/bookigs/vrbo)</t>
  </si>
  <si>
    <t xml:space="preserve">         5025 Commercial - Long term contracts</t>
  </si>
  <si>
    <t xml:space="preserve">         5027 Commercial - Special requests</t>
  </si>
  <si>
    <t xml:space="preserve">         5028 Linen</t>
  </si>
  <si>
    <t xml:space="preserve">         5029 Laundry</t>
  </si>
  <si>
    <t xml:space="preserve">      5020 Total Cost of Labour - COGS</t>
  </si>
  <si>
    <t xml:space="preserve">      5030 Living Out Allowance LOA - COGS</t>
  </si>
  <si>
    <t xml:space="preserve">      5040 Subcontractors - COGS</t>
  </si>
  <si>
    <t xml:space="preserve">         5041 Subcontract T4A - COGS</t>
  </si>
  <si>
    <t xml:space="preserve">      Total 5040 Subcontractors - COGS</t>
  </si>
  <si>
    <t xml:space="preserve">      5050 Supplies  - COGS</t>
  </si>
  <si>
    <t xml:space="preserve">         5051 Supplies - Residential</t>
  </si>
  <si>
    <t xml:space="preserve">         5052 Supplies - Commercial</t>
  </si>
  <si>
    <t xml:space="preserve">         5053 Linen cost</t>
  </si>
  <si>
    <t xml:space="preserve">      Total 5050 Supplies  - COGS</t>
  </si>
  <si>
    <t xml:space="preserve">   Total Cost of Goods Sold</t>
  </si>
  <si>
    <t>GROSS PROFIT</t>
  </si>
  <si>
    <t>GROSS MARGIN</t>
  </si>
  <si>
    <t>EXPENSES</t>
  </si>
  <si>
    <t xml:space="preserve">   6010 Advertising/Promotional</t>
  </si>
  <si>
    <t xml:space="preserve">      6011 Staff Incentive</t>
  </si>
  <si>
    <t xml:space="preserve">      6012 Recruiting</t>
  </si>
  <si>
    <t xml:space="preserve">      6013 SEO Marketing</t>
  </si>
  <si>
    <t xml:space="preserve">   Total 6010 Advertising/Promotional</t>
  </si>
  <si>
    <t xml:space="preserve">   6020 Amortization Expense</t>
  </si>
  <si>
    <t xml:space="preserve">   6030 Automobile</t>
  </si>
  <si>
    <t xml:space="preserve">   6040 Bad debts</t>
  </si>
  <si>
    <t xml:space="preserve">   6050 Bank charges</t>
  </si>
  <si>
    <t xml:space="preserve">      6051 Late Pmt Fees</t>
  </si>
  <si>
    <t xml:space="preserve">      6052 Merchant Fees</t>
  </si>
  <si>
    <t xml:space="preserve">      6053 Stripe merch fees</t>
  </si>
  <si>
    <t xml:space="preserve">   Total 6050 Bank charges </t>
  </si>
  <si>
    <t xml:space="preserve">   6080 Charitable Contributions</t>
  </si>
  <si>
    <t xml:space="preserve">   6090 Disposal Fees</t>
  </si>
  <si>
    <t xml:space="preserve">   6100 Dues and Subscriptions</t>
  </si>
  <si>
    <t xml:space="preserve">   6110 Freight and Delivery</t>
  </si>
  <si>
    <t xml:space="preserve">   6120 Income Tax</t>
  </si>
  <si>
    <t xml:space="preserve">   6130 Insurance</t>
  </si>
  <si>
    <t xml:space="preserve">   6140 Interest expense</t>
  </si>
  <si>
    <t xml:space="preserve">   6150 Legal and professional fees</t>
  </si>
  <si>
    <t xml:space="preserve">      6151 Accounting</t>
  </si>
  <si>
    <t xml:space="preserve">      6152 Bookkeeping</t>
  </si>
  <si>
    <t xml:space="preserve">      6153 Legal</t>
  </si>
  <si>
    <t xml:space="preserve">   Total 6150 Professional fees</t>
  </si>
  <si>
    <t xml:space="preserve">   6160 Meals and entertainment</t>
  </si>
  <si>
    <t xml:space="preserve">   6170 Office expenses</t>
  </si>
  <si>
    <t xml:space="preserve">      6171 Office Supplies</t>
  </si>
  <si>
    <t xml:space="preserve">      6172 Programs &amp; Apps</t>
  </si>
  <si>
    <t xml:space="preserve">   Total 6170 Office expenses</t>
  </si>
  <si>
    <t xml:space="preserve">   6200 Payroll Expenses</t>
  </si>
  <si>
    <t xml:space="preserve">      6201 Admin</t>
  </si>
  <si>
    <t xml:space="preserve">         6202 Allowance</t>
  </si>
  <si>
    <t xml:space="preserve">      6205 Owner Salary</t>
  </si>
  <si>
    <t xml:space="preserve">      6206 Regular Pay</t>
  </si>
  <si>
    <t xml:space="preserve">      6207 Taxes</t>
  </si>
  <si>
    <t xml:space="preserve">   Total 6200 Payroll Expenses</t>
  </si>
  <si>
    <t xml:space="preserve">   6240 Permits and Licenses</t>
  </si>
  <si>
    <t xml:space="preserve">   6250 Professional Development</t>
  </si>
  <si>
    <t xml:space="preserve">   6260 Reimbursements</t>
  </si>
  <si>
    <t xml:space="preserve">   6280 Rent or lease payments</t>
  </si>
  <si>
    <t xml:space="preserve">   6300 Repair and maintenance</t>
  </si>
  <si>
    <t xml:space="preserve">      6305 Building R&amp;M</t>
  </si>
  <si>
    <t xml:space="preserve">      6310 Equipment R&amp;M</t>
  </si>
  <si>
    <t xml:space="preserve">   Total 6300 Repair and maintenance</t>
  </si>
  <si>
    <t xml:space="preserve">   6320 Shipping and delivery expense</t>
  </si>
  <si>
    <t xml:space="preserve">   6330 Travel</t>
  </si>
  <si>
    <t xml:space="preserve">      6331 Airline Tickets</t>
  </si>
  <si>
    <t xml:space="preserve">   Total 6330 Travel</t>
  </si>
  <si>
    <t xml:space="preserve">   6340 Travel meals</t>
  </si>
  <si>
    <t xml:space="preserve">   6350 Uncategorized Expense</t>
  </si>
  <si>
    <t xml:space="preserve">   6360 Uniforms</t>
  </si>
  <si>
    <t xml:space="preserve">   6400 Utilities</t>
  </si>
  <si>
    <t xml:space="preserve">      6401 Cable/Internet</t>
  </si>
  <si>
    <t xml:space="preserve">      6402 Hydro</t>
  </si>
  <si>
    <t xml:space="preserve">      6403 Mobile Phone</t>
  </si>
  <si>
    <t xml:space="preserve">      6404 Telephone</t>
  </si>
  <si>
    <t xml:space="preserve">   Total 6400 Utilities</t>
  </si>
  <si>
    <t>Total Expenses</t>
  </si>
  <si>
    <t>OTHER INCOME</t>
  </si>
  <si>
    <t xml:space="preserve">   7010 Interest earned</t>
  </si>
  <si>
    <t>Total Other Income</t>
  </si>
  <si>
    <t>OTHER EXPENSES</t>
  </si>
  <si>
    <t xml:space="preserve">   8010 Penalties and settlements</t>
  </si>
  <si>
    <t xml:space="preserve">   8020 Reconciliation Discrepancies</t>
  </si>
  <si>
    <t>Total Other Expenses</t>
  </si>
  <si>
    <t>PROFIT</t>
  </si>
  <si>
    <t>PROFIT MARGIN</t>
  </si>
  <si>
    <t xml:space="preserve">      4050 RESIDENTIAL</t>
  </si>
  <si>
    <t> </t>
  </si>
  <si>
    <t xml:space="preserve"> $                  -  </t>
  </si>
  <si>
    <t>5010 RESIDENTIAL COGS</t>
  </si>
  <si>
    <t xml:space="preserve">         5051 PVH - Auto</t>
  </si>
  <si>
    <t xml:space="preserve">         5051 PVH - Labour</t>
  </si>
  <si>
    <t xml:space="preserve">         5051 PVH - Supplies</t>
  </si>
  <si>
    <t>Private Vacation Home COGS</t>
  </si>
  <si>
    <t>PVH Gross Profit</t>
  </si>
  <si>
    <t>Private Vacation Homes Gross Margin</t>
  </si>
  <si>
    <t xml:space="preserve">         5052 RH - Auto</t>
  </si>
  <si>
    <t xml:space="preserve">         5052 RH - Labour</t>
  </si>
  <si>
    <t xml:space="preserve">         5052 RH - Supplies</t>
  </si>
  <si>
    <t>Recurring Homeowner COGS</t>
  </si>
  <si>
    <t>RH Gross Profit</t>
  </si>
  <si>
    <t>Recurring Home Owners Gross Margin</t>
  </si>
  <si>
    <t xml:space="preserve">         5053 Vacation Rentals - Auto</t>
  </si>
  <si>
    <t xml:space="preserve">         5053 Vacation Rentals - Labour</t>
  </si>
  <si>
    <t xml:space="preserve">         5053 Vacation Rentals- Supplies</t>
  </si>
  <si>
    <t>Vacation Rental COGS</t>
  </si>
  <si>
    <t>Vacation Rentals Gross Profit</t>
  </si>
  <si>
    <t>Vacation Rentals Gross Margin</t>
  </si>
  <si>
    <t>TOTAL RESIDENTIAL GM</t>
  </si>
  <si>
    <t>5070 COMMERCIAL COGS</t>
  </si>
  <si>
    <t xml:space="preserve">         5071 Commercial LT w SR- Auto</t>
  </si>
  <si>
    <t xml:space="preserve">         5071 Commercial LT w  SR- Labour</t>
  </si>
  <si>
    <t xml:space="preserve">         5071 Commercial LT w SR - Supplies</t>
  </si>
  <si>
    <t>Commercial COGS</t>
  </si>
  <si>
    <t>Commercial LT w SR Gross Profit</t>
  </si>
  <si>
    <t>Commercial LT w SR Gross Margin</t>
  </si>
  <si>
    <t>5090 LAUNDRY &amp; LINEN COGS</t>
  </si>
  <si>
    <t xml:space="preserve">         5091 L&amp;L- Auto</t>
  </si>
  <si>
    <t xml:space="preserve">         5091 L&amp;L- Labour</t>
  </si>
  <si>
    <t xml:space="preserve">         5091 L&amp;L - Supplies</t>
  </si>
  <si>
    <t>Laundry &amp; Linen COGS</t>
  </si>
  <si>
    <t>L&amp;L Gross Profit</t>
  </si>
  <si>
    <t>L&amp;L Gross Margin</t>
  </si>
  <si>
    <t xml:space="preserve"> $             -  </t>
  </si>
  <si>
    <t xml:space="preserve"> $               -  </t>
  </si>
  <si>
    <t xml:space="preserve"> $                -  </t>
  </si>
  <si>
    <t>Lakeside Chocolate Co. - Profit and Loss by Month</t>
  </si>
  <si>
    <t>Cost per bar</t>
  </si>
  <si>
    <t xml:space="preserve">      4050 Direct Sales - Bars</t>
  </si>
  <si>
    <t xml:space="preserve">         4051 Website</t>
  </si>
  <si>
    <t>COGS Bars</t>
  </si>
  <si>
    <t xml:space="preserve">         4052 Markets</t>
  </si>
  <si>
    <t>COGS Raw Coco</t>
  </si>
  <si>
    <t xml:space="preserve">         4053 Drop Ins</t>
  </si>
  <si>
    <t>Direct Sales Bars</t>
  </si>
  <si>
    <t xml:space="preserve">      Total 4050 Direct Sales - Bars</t>
  </si>
  <si>
    <t>Wholesale Bars</t>
  </si>
  <si>
    <t xml:space="preserve">      4070 Wholesale - Bars</t>
  </si>
  <si>
    <t>Note:  Wholesale @ 30% discount</t>
  </si>
  <si>
    <t xml:space="preserve">         4071 Grocery Stores</t>
  </si>
  <si>
    <t xml:space="preserve">         4072 Resellers</t>
  </si>
  <si>
    <t xml:space="preserve">      Total 4070 Wholesale - Bars</t>
  </si>
  <si>
    <t xml:space="preserve">      4090 Raw Coco - Reselling</t>
  </si>
  <si>
    <t xml:space="preserve">         4091 Bakeries/Grocery</t>
  </si>
  <si>
    <t xml:space="preserve">         4092 Direct Sale</t>
  </si>
  <si>
    <t xml:space="preserve">      Total 4090 Raw Coco - Reselling</t>
  </si>
  <si>
    <t xml:space="preserve"> COST OF GOODS SOLD</t>
  </si>
  <si>
    <t xml:space="preserve">      5010 Supplies  - COGS</t>
  </si>
  <si>
    <t xml:space="preserve">         5011 Supply - Coco</t>
  </si>
  <si>
    <t xml:space="preserve">         5012 Supply - Sugar</t>
  </si>
  <si>
    <t xml:space="preserve">         5013 Supply - Other</t>
  </si>
  <si>
    <t xml:space="preserve">      5010 Total Supply  - COGS</t>
  </si>
  <si>
    <t xml:space="preserve">      5020 Packaging with labour</t>
  </si>
  <si>
    <t xml:space="preserve"> 5021 Packaging - Bar wraps and boxes</t>
  </si>
  <si>
    <t xml:space="preserve">         5022 Packaging - Coco Bags</t>
  </si>
  <si>
    <t xml:space="preserve">         5020 - Total Packaging - COGS</t>
  </si>
  <si>
    <t xml:space="preserve">         5030 Shipping - COGS</t>
  </si>
  <si>
    <t xml:space="preserve">         5031 - Inbound Shipping</t>
  </si>
  <si>
    <t xml:space="preserve">         5021 Outbound Shipping</t>
  </si>
  <si>
    <t xml:space="preserve">         5030 Total Shipping - COGS </t>
  </si>
  <si>
    <t xml:space="preserve">      5040 Labour - COGS</t>
  </si>
  <si>
    <t xml:space="preserve">      5041 Production Labour - COGS</t>
  </si>
  <si>
    <t xml:space="preserve">      5042 Packaging Labour - COGS</t>
  </si>
  <si>
    <t xml:space="preserve">         5043 Subcontract T4A - COGS</t>
  </si>
  <si>
    <t xml:space="preserve">      Total 5040 Labour - COGS</t>
  </si>
  <si>
    <t>Total Raw Coco Supply - Resale</t>
  </si>
  <si>
    <t>Retail Price per bar</t>
  </si>
  <si>
    <t xml:space="preserve">      4050 Direct Sales - Number of Bars</t>
  </si>
  <si>
    <t>COGS - Per bar</t>
  </si>
  <si>
    <t>Total COGS Bars</t>
  </si>
  <si>
    <t>Total COGS Raw Coco</t>
  </si>
  <si>
    <t>COGS Direct Sales Bars</t>
  </si>
  <si>
    <t>COGS Wholesale Bars</t>
  </si>
  <si>
    <t xml:space="preserve">      4070 Wholesale - Number of Bars</t>
  </si>
  <si>
    <t xml:space="preserve">    5050 COGS - Direct Sales</t>
  </si>
  <si>
    <t xml:space="preserve">       5051 Website</t>
  </si>
  <si>
    <t>Gross Margin - Website</t>
  </si>
  <si>
    <t xml:space="preserve">       5052 Markets</t>
  </si>
  <si>
    <t>Gross Margin - Markets</t>
  </si>
  <si>
    <t xml:space="preserve">       5053 Drop-Ins</t>
  </si>
  <si>
    <t>Gross Margin - Drop-Ins</t>
  </si>
  <si>
    <t>Total COGS Direct Sales</t>
  </si>
  <si>
    <t>Gross Margin - Direct Sales</t>
  </si>
  <si>
    <t xml:space="preserve"> 5070 COGS Wholesale - Bars</t>
  </si>
  <si>
    <t xml:space="preserve">         5071 COGS Grocery Stores &amp; Resellers</t>
  </si>
  <si>
    <t>Gross Margin - Wholesale</t>
  </si>
  <si>
    <t xml:space="preserve">      5090 COGS Raw Coco - Reselling</t>
  </si>
  <si>
    <t xml:space="preserve">         5091 COGS Bakeries/Grocery/Direct</t>
  </si>
  <si>
    <t>Gross Margin - Raw Coco</t>
  </si>
  <si>
    <t>GM old calc.</t>
  </si>
  <si>
    <t>Less 25% Attributed to COGS</t>
  </si>
  <si>
    <t>Less 100% Attributed to COGS</t>
  </si>
  <si>
    <t>Note:  For FFLG educational purposes - NOT A TEMPLATE!</t>
  </si>
  <si>
    <t>OLD COGS DATA - FOR CALCULATIONS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</si>
</sst>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[$$-409]* #,##0_ ;_-[$$-409]* \-#,##0\ ;_-[$$-409]* &quot;-&quot;??_ ;_-@_ "/>
    <numFmt numFmtId="168" formatCode="_-[$$-409]* #,##0.00_ ;_-[$$-409]* \-#,##0.00\ ;_-[$$-409]* &quot;-&quot;??_ ;_-@_ 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right" wrapText="1"/>
    </xf>
    <xf numFmtId="4" fontId="4" fillId="0" borderId="0" xfId="0" applyNumberFormat="1" applyFont="1" applyAlignment="1">
      <alignment wrapText="1"/>
    </xf>
    <xf numFmtId="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7" fillId="4" borderId="0" xfId="0" applyFont="1" applyFill="1" applyAlignment="1">
      <alignment horizontal="left" wrapText="1"/>
    </xf>
    <xf numFmtId="9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wrapText="1"/>
    </xf>
    <xf numFmtId="9" fontId="7" fillId="0" borderId="0" xfId="0" applyNumberFormat="1" applyFont="1" applyAlignment="1">
      <alignment wrapText="1"/>
    </xf>
    <xf numFmtId="16" fontId="7" fillId="0" borderId="1" xfId="0" applyNumberFormat="1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1" fontId="8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166" fontId="8" fillId="0" borderId="0" xfId="1" applyNumberFormat="1" applyFont="1" applyAlignment="1">
      <alignment horizontal="right" wrapText="1"/>
    </xf>
    <xf numFmtId="166" fontId="7" fillId="0" borderId="2" xfId="1" applyNumberFormat="1" applyFont="1" applyBorder="1" applyAlignment="1">
      <alignment horizontal="right" wrapText="1"/>
    </xf>
    <xf numFmtId="0" fontId="8" fillId="2" borderId="0" xfId="0" applyFont="1" applyFill="1"/>
    <xf numFmtId="0" fontId="2" fillId="4" borderId="0" xfId="0" applyFont="1" applyFill="1"/>
    <xf numFmtId="9" fontId="8" fillId="0" borderId="0" xfId="0" applyNumberFormat="1" applyFont="1"/>
    <xf numFmtId="166" fontId="7" fillId="0" borderId="0" xfId="1" applyNumberFormat="1" applyFont="1" applyBorder="1" applyAlignment="1">
      <alignment horizontal="right" wrapText="1"/>
    </xf>
    <xf numFmtId="166" fontId="2" fillId="0" borderId="0" xfId="0" applyNumberFormat="1" applyFont="1"/>
    <xf numFmtId="0" fontId="7" fillId="5" borderId="0" xfId="0" applyFont="1" applyFill="1" applyAlignment="1">
      <alignment horizontal="left" wrapText="1"/>
    </xf>
    <xf numFmtId="0" fontId="7" fillId="4" borderId="0" xfId="0" applyFont="1" applyFill="1" applyAlignment="1">
      <alignment horizontal="left"/>
    </xf>
    <xf numFmtId="167" fontId="7" fillId="0" borderId="3" xfId="0" applyNumberFormat="1" applyFont="1" applyBorder="1" applyAlignment="1">
      <alignment wrapText="1"/>
    </xf>
    <xf numFmtId="167" fontId="7" fillId="0" borderId="3" xfId="1" applyNumberFormat="1" applyFont="1" applyBorder="1" applyAlignment="1">
      <alignment horizontal="right" wrapText="1"/>
    </xf>
    <xf numFmtId="0" fontId="8" fillId="5" borderId="0" xfId="0" applyFont="1" applyFill="1"/>
    <xf numFmtId="9" fontId="8" fillId="5" borderId="0" xfId="0" applyNumberFormat="1" applyFont="1" applyFill="1"/>
    <xf numFmtId="0" fontId="2" fillId="5" borderId="0" xfId="0" applyFont="1" applyFill="1"/>
    <xf numFmtId="0" fontId="8" fillId="4" borderId="0" xfId="0" applyFont="1" applyFill="1"/>
    <xf numFmtId="10" fontId="8" fillId="5" borderId="0" xfId="0" applyNumberFormat="1" applyFont="1" applyFill="1"/>
    <xf numFmtId="9" fontId="8" fillId="4" borderId="0" xfId="0" applyNumberFormat="1" applyFont="1" applyFill="1"/>
    <xf numFmtId="9" fontId="2" fillId="0" borderId="0" xfId="0" applyNumberFormat="1" applyFont="1"/>
    <xf numFmtId="1" fontId="2" fillId="0" borderId="0" xfId="0" applyNumberFormat="1" applyFont="1"/>
    <xf numFmtId="0" fontId="10" fillId="4" borderId="0" xfId="0" applyFont="1" applyFill="1"/>
    <xf numFmtId="0" fontId="11" fillId="0" borderId="0" xfId="0" applyFont="1"/>
    <xf numFmtId="0" fontId="7" fillId="0" borderId="1" xfId="0" applyFont="1" applyBorder="1" applyAlignment="1">
      <alignment wrapText="1"/>
    </xf>
    <xf numFmtId="16" fontId="7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13" fillId="2" borderId="0" xfId="0" applyFont="1" applyFill="1"/>
    <xf numFmtId="6" fontId="8" fillId="0" borderId="0" xfId="0" applyNumberFormat="1" applyFont="1" applyAlignment="1">
      <alignment wrapText="1"/>
    </xf>
    <xf numFmtId="4" fontId="11" fillId="0" borderId="0" xfId="0" applyNumberFormat="1" applyFont="1"/>
    <xf numFmtId="0" fontId="7" fillId="0" borderId="2" xfId="0" applyFont="1" applyBorder="1" applyAlignment="1">
      <alignment wrapText="1"/>
    </xf>
    <xf numFmtId="6" fontId="7" fillId="0" borderId="2" xfId="0" applyNumberFormat="1" applyFont="1" applyBorder="1" applyAlignment="1">
      <alignment wrapText="1"/>
    </xf>
    <xf numFmtId="0" fontId="7" fillId="3" borderId="0" xfId="0" applyFont="1" applyFill="1" applyAlignment="1">
      <alignment wrapText="1"/>
    </xf>
    <xf numFmtId="0" fontId="14" fillId="0" borderId="0" xfId="0" applyFont="1" applyAlignment="1">
      <alignment wrapText="1"/>
    </xf>
    <xf numFmtId="6" fontId="7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9" fontId="7" fillId="2" borderId="0" xfId="0" applyNumberFormat="1" applyFont="1" applyFill="1" applyAlignment="1">
      <alignment wrapText="1"/>
    </xf>
    <xf numFmtId="0" fontId="15" fillId="0" borderId="0" xfId="0" applyFont="1"/>
    <xf numFmtId="8" fontId="7" fillId="0" borderId="2" xfId="0" applyNumberFormat="1" applyFont="1" applyBorder="1" applyAlignment="1">
      <alignment wrapText="1"/>
    </xf>
    <xf numFmtId="8" fontId="16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9" fontId="7" fillId="3" borderId="0" xfId="0" applyNumberFormat="1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167" fontId="2" fillId="0" borderId="0" xfId="0" applyNumberFormat="1" applyFont="1"/>
    <xf numFmtId="167" fontId="8" fillId="0" borderId="0" xfId="0" applyNumberFormat="1" applyFont="1" applyAlignment="1">
      <alignment horizontal="right" wrapText="1"/>
    </xf>
    <xf numFmtId="167" fontId="8" fillId="0" borderId="0" xfId="0" applyNumberFormat="1" applyFont="1" applyAlignment="1">
      <alignment wrapText="1"/>
    </xf>
    <xf numFmtId="167" fontId="8" fillId="0" borderId="0" xfId="1" applyNumberFormat="1" applyFont="1" applyAlignment="1">
      <alignment horizontal="right" wrapText="1"/>
    </xf>
    <xf numFmtId="0" fontId="2" fillId="6" borderId="0" xfId="0" applyFont="1" applyFill="1"/>
    <xf numFmtId="1" fontId="8" fillId="0" borderId="0" xfId="0" applyNumberFormat="1" applyFont="1" applyAlignment="1">
      <alignment horizontal="left" wrapText="1"/>
    </xf>
    <xf numFmtId="9" fontId="7" fillId="0" borderId="4" xfId="0" applyNumberFormat="1" applyFont="1" applyBorder="1" applyAlignment="1">
      <alignment wrapText="1"/>
    </xf>
    <xf numFmtId="0" fontId="7" fillId="7" borderId="0" xfId="0" applyFont="1" applyFill="1" applyAlignment="1">
      <alignment horizontal="left" wrapText="1"/>
    </xf>
    <xf numFmtId="0" fontId="10" fillId="6" borderId="0" xfId="0" applyFont="1" applyFill="1"/>
    <xf numFmtId="168" fontId="10" fillId="6" borderId="0" xfId="0" applyNumberFormat="1" applyFont="1" applyFill="1"/>
    <xf numFmtId="165" fontId="10" fillId="6" borderId="0" xfId="0" applyNumberFormat="1" applyFont="1" applyFill="1"/>
    <xf numFmtId="9" fontId="7" fillId="4" borderId="0" xfId="0" applyNumberFormat="1" applyFont="1" applyFill="1"/>
    <xf numFmtId="0" fontId="7" fillId="6" borderId="0" xfId="0" applyFont="1" applyFill="1"/>
    <xf numFmtId="0" fontId="7" fillId="5" borderId="0" xfId="0" applyFont="1" applyFill="1" applyAlignment="1">
      <alignment horizontal="left"/>
    </xf>
    <xf numFmtId="9" fontId="7" fillId="4" borderId="0" xfId="0" applyNumberFormat="1" applyFont="1" applyFill="1" applyAlignment="1">
      <alignment horizontal="right" wrapText="1"/>
    </xf>
    <xf numFmtId="0" fontId="9" fillId="4" borderId="0" xfId="0" applyFont="1" applyFill="1"/>
    <xf numFmtId="9" fontId="7" fillId="4" borderId="0" xfId="0" applyNumberFormat="1" applyFont="1" applyFill="1" applyAlignment="1">
      <alignment wrapText="1"/>
    </xf>
    <xf numFmtId="0" fontId="7" fillId="4" borderId="0" xfId="0" applyFont="1" applyFill="1" applyAlignment="1">
      <alignment wrapText="1"/>
    </xf>
    <xf numFmtId="9" fontId="7" fillId="2" borderId="0" xfId="0" applyNumberFormat="1" applyFont="1" applyFill="1"/>
    <xf numFmtId="10" fontId="7" fillId="2" borderId="0" xfId="0" applyNumberFormat="1" applyFont="1" applyFill="1"/>
    <xf numFmtId="0" fontId="7" fillId="2" borderId="0" xfId="0" applyFont="1" applyFill="1"/>
    <xf numFmtId="0" fontId="0" fillId="5" borderId="0" xfId="0" applyFill="1"/>
    <xf numFmtId="0" fontId="7" fillId="9" borderId="0" xfId="0" applyFont="1" applyFill="1" applyAlignment="1">
      <alignment horizontal="left" wrapText="1"/>
    </xf>
    <xf numFmtId="1" fontId="8" fillId="9" borderId="0" xfId="0" applyNumberFormat="1" applyFont="1" applyFill="1" applyAlignment="1">
      <alignment wrapText="1"/>
    </xf>
    <xf numFmtId="1" fontId="8" fillId="9" borderId="0" xfId="0" applyNumberFormat="1" applyFont="1" applyFill="1" applyAlignment="1">
      <alignment horizontal="right" wrapText="1"/>
    </xf>
    <xf numFmtId="0" fontId="7" fillId="10" borderId="0" xfId="0" applyFont="1" applyFill="1" applyAlignment="1">
      <alignment horizontal="left" wrapText="1"/>
    </xf>
    <xf numFmtId="166" fontId="7" fillId="10" borderId="2" xfId="1" applyNumberFormat="1" applyFont="1" applyFill="1" applyBorder="1" applyAlignment="1">
      <alignment horizontal="right" wrapText="1"/>
    </xf>
    <xf numFmtId="0" fontId="7" fillId="10" borderId="0" xfId="0" applyFont="1" applyFill="1" applyAlignment="1">
      <alignment horizontal="left"/>
    </xf>
    <xf numFmtId="1" fontId="8" fillId="10" borderId="0" xfId="0" applyNumberFormat="1" applyFont="1" applyFill="1" applyAlignment="1">
      <alignment wrapText="1"/>
    </xf>
    <xf numFmtId="1" fontId="8" fillId="10" borderId="0" xfId="0" applyNumberFormat="1" applyFont="1" applyFill="1" applyAlignment="1">
      <alignment horizontal="right" wrapText="1"/>
    </xf>
    <xf numFmtId="166" fontId="8" fillId="10" borderId="0" xfId="1" applyNumberFormat="1" applyFont="1" applyFill="1" applyAlignment="1">
      <alignment horizontal="right" wrapText="1"/>
    </xf>
    <xf numFmtId="166" fontId="8" fillId="9" borderId="0" xfId="1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167" fontId="7" fillId="0" borderId="5" xfId="0" applyNumberFormat="1" applyFont="1" applyBorder="1" applyAlignment="1">
      <alignment wrapText="1"/>
    </xf>
    <xf numFmtId="9" fontId="17" fillId="4" borderId="5" xfId="0" applyNumberFormat="1" applyFont="1" applyFill="1" applyBorder="1"/>
    <xf numFmtId="9" fontId="7" fillId="4" borderId="4" xfId="0" applyNumberFormat="1" applyFont="1" applyFill="1" applyBorder="1" applyAlignment="1">
      <alignment wrapText="1"/>
    </xf>
    <xf numFmtId="0" fontId="7" fillId="11" borderId="0" xfId="0" applyFont="1" applyFill="1" applyAlignment="1">
      <alignment horizontal="left" wrapText="1"/>
    </xf>
    <xf numFmtId="0" fontId="7" fillId="12" borderId="0" xfId="0" applyFont="1" applyFill="1" applyAlignment="1">
      <alignment horizontal="left" wrapText="1"/>
    </xf>
    <xf numFmtId="166" fontId="17" fillId="0" borderId="5" xfId="0" applyNumberFormat="1" applyFont="1" applyBorder="1"/>
    <xf numFmtId="166" fontId="2" fillId="4" borderId="0" xfId="0" applyNumberFormat="1" applyFont="1" applyFill="1"/>
    <xf numFmtId="9" fontId="2" fillId="4" borderId="0" xfId="0" applyNumberFormat="1" applyFont="1" applyFill="1"/>
    <xf numFmtId="3" fontId="2" fillId="4" borderId="0" xfId="0" applyNumberFormat="1" applyFont="1" applyFill="1"/>
    <xf numFmtId="1" fontId="2" fillId="4" borderId="0" xfId="0" applyNumberFormat="1" applyFont="1" applyFill="1"/>
    <xf numFmtId="0" fontId="19" fillId="2" borderId="0" xfId="0" applyFont="1" applyFill="1"/>
    <xf numFmtId="4" fontId="7" fillId="0" borderId="2" xfId="0" applyNumberFormat="1" applyFont="1" applyBorder="1" applyAlignment="1">
      <alignment horizontal="right" wrapText="1"/>
    </xf>
    <xf numFmtId="165" fontId="7" fillId="0" borderId="2" xfId="1" applyFont="1" applyBorder="1" applyAlignment="1">
      <alignment horizontal="right" wrapText="1"/>
    </xf>
    <xf numFmtId="9" fontId="7" fillId="0" borderId="0" xfId="2" applyFont="1" applyAlignment="1">
      <alignment wrapText="1"/>
    </xf>
    <xf numFmtId="0" fontId="7" fillId="8" borderId="0" xfId="0" applyFont="1" applyFill="1"/>
    <xf numFmtId="0" fontId="8" fillId="8" borderId="0" xfId="0" applyFont="1" applyFill="1"/>
    <xf numFmtId="0" fontId="6" fillId="8" borderId="0" xfId="0" applyFont="1" applyFill="1"/>
    <xf numFmtId="166" fontId="7" fillId="0" borderId="0" xfId="1" applyNumberFormat="1" applyFont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8" fillId="0" borderId="0" xfId="1" applyNumberFormat="1" applyFont="1" applyFill="1" applyAlignment="1">
      <alignment horizontal="right" wrapText="1"/>
    </xf>
    <xf numFmtId="167" fontId="7" fillId="0" borderId="2" xfId="1" applyNumberFormat="1" applyFont="1" applyFill="1" applyBorder="1" applyAlignment="1">
      <alignment horizontal="right" wrapText="1"/>
    </xf>
    <xf numFmtId="167" fontId="7" fillId="0" borderId="2" xfId="1" applyNumberFormat="1" applyFont="1" applyBorder="1" applyAlignment="1">
      <alignment horizontal="right" wrapText="1"/>
    </xf>
    <xf numFmtId="167" fontId="8" fillId="0" borderId="0" xfId="0" applyNumberFormat="1" applyFont="1"/>
    <xf numFmtId="167" fontId="7" fillId="0" borderId="0" xfId="0" applyNumberFormat="1" applyFont="1" applyAlignment="1">
      <alignment wrapText="1"/>
    </xf>
    <xf numFmtId="0" fontId="7" fillId="0" borderId="6" xfId="0" applyFont="1" applyBorder="1" applyAlignment="1">
      <alignment horizontal="right" wrapText="1"/>
    </xf>
    <xf numFmtId="0" fontId="21" fillId="0" borderId="0" xfId="0" applyFont="1" applyAlignment="1">
      <alignment horizontal="right" wrapText="1"/>
    </xf>
    <xf numFmtId="165" fontId="8" fillId="0" borderId="0" xfId="1" applyFont="1" applyBorder="1" applyAlignment="1">
      <alignment horizontal="right" wrapText="1"/>
    </xf>
    <xf numFmtId="0" fontId="7" fillId="13" borderId="0" xfId="0" applyFont="1" applyFill="1" applyAlignment="1">
      <alignment horizontal="left" wrapText="1"/>
    </xf>
    <xf numFmtId="0" fontId="20" fillId="13" borderId="0" xfId="0" applyFont="1" applyFill="1" applyAlignment="1">
      <alignment horizontal="left" wrapText="1"/>
    </xf>
    <xf numFmtId="0" fontId="18" fillId="8" borderId="0" xfId="0" applyFont="1" applyFill="1"/>
    <xf numFmtId="0" fontId="2" fillId="8" borderId="0" xfId="0" applyFont="1" applyFill="1"/>
    <xf numFmtId="166" fontId="10" fillId="6" borderId="0" xfId="0" applyNumberFormat="1" applyFont="1" applyFill="1"/>
    <xf numFmtId="9" fontId="10" fillId="6" borderId="0" xfId="0" applyNumberFormat="1" applyFont="1" applyFill="1"/>
    <xf numFmtId="167" fontId="10" fillId="6" borderId="0" xfId="0" applyNumberFormat="1" applyFont="1" applyFill="1"/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6015-6E77-EB4B-BCE5-D4B1B993FBA4}">
  <sheetPr>
    <pageSetUpPr fitToPage="1"/>
  </sheetPr>
  <dimension ref="A1:AA129"/>
  <sheetViews>
    <sheetView zoomScale="120" zoomScaleNormal="120" workbookViewId="0">
      <pane xSplit="1" ySplit="4" topLeftCell="B105" activePane="bottomRight" state="frozen"/>
      <selection pane="topRight" activeCell="A12" sqref="A12"/>
      <selection pane="bottomLeft" activeCell="A12" sqref="A12"/>
      <selection pane="bottomRight" sqref="A1:N1"/>
    </sheetView>
  </sheetViews>
  <sheetFormatPr defaultColWidth="11" defaultRowHeight="15.75" x14ac:dyDescent="0.25"/>
  <cols>
    <col min="1" max="1" width="44.6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11" bestFit="1" customWidth="1"/>
    <col min="17" max="17" width="3.125" customWidth="1"/>
    <col min="18" max="18" width="1.375" customWidth="1"/>
  </cols>
  <sheetData>
    <row r="1" spans="1:27" ht="30.95" customHeight="1" x14ac:dyDescent="0.4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3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25" x14ac:dyDescent="0.3">
      <c r="A3" s="14"/>
      <c r="B3" s="117" t="s">
        <v>242</v>
      </c>
      <c r="C3" s="116"/>
      <c r="D3" s="116"/>
      <c r="E3" s="116"/>
      <c r="F3" s="116"/>
      <c r="G3" s="116"/>
      <c r="H3" s="116"/>
      <c r="I3" s="14"/>
      <c r="J3" s="14"/>
      <c r="K3" s="14"/>
      <c r="L3" s="14"/>
      <c r="M3" s="14"/>
      <c r="N3" s="14"/>
      <c r="O3" s="1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8"/>
      <c r="B4" s="9" t="s">
        <v>2</v>
      </c>
      <c r="C4" s="23">
        <v>45068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1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0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29" t="s">
        <v>16</v>
      </c>
      <c r="P6" s="30"/>
      <c r="Q6" s="1"/>
      <c r="R6" s="1"/>
      <c r="S6" s="46" t="s">
        <v>17</v>
      </c>
      <c r="T6" s="1" t="s">
        <v>18</v>
      </c>
      <c r="U6" s="1" t="s">
        <v>19</v>
      </c>
      <c r="V6" s="1" t="s">
        <v>20</v>
      </c>
      <c r="W6" s="1" t="s">
        <v>21</v>
      </c>
      <c r="X6" s="1" t="s">
        <v>22</v>
      </c>
      <c r="Y6" s="1"/>
      <c r="Z6" s="1" t="s">
        <v>23</v>
      </c>
      <c r="AA6" s="1"/>
    </row>
    <row r="7" spans="1:27" x14ac:dyDescent="0.25">
      <c r="A7" s="10" t="s">
        <v>24</v>
      </c>
      <c r="B7" s="24">
        <v>2101.11</v>
      </c>
      <c r="C7" s="25">
        <v>1575.83</v>
      </c>
      <c r="D7" s="25">
        <v>2626.39</v>
      </c>
      <c r="E7" s="25">
        <v>5252.78</v>
      </c>
      <c r="F7" s="25">
        <v>5778.06</v>
      </c>
      <c r="G7" s="25">
        <v>4202.22</v>
      </c>
      <c r="H7" s="25">
        <v>2101.11</v>
      </c>
      <c r="I7" s="25">
        <v>1575.83</v>
      </c>
      <c r="J7" s="25">
        <v>5252.78</v>
      </c>
      <c r="K7" s="25">
        <v>5778.06</v>
      </c>
      <c r="L7" s="25">
        <v>9455.01</v>
      </c>
      <c r="M7" s="25">
        <v>6828.62</v>
      </c>
      <c r="N7" s="27">
        <v>52527.81</v>
      </c>
      <c r="O7" s="86">
        <f>(N7-Z7)/N7</f>
        <v>0.36730143518262043</v>
      </c>
      <c r="P7" s="1"/>
      <c r="Q7" s="1"/>
      <c r="R7" s="1"/>
      <c r="S7" s="82">
        <v>0.5</v>
      </c>
      <c r="T7" s="1">
        <v>2497.645</v>
      </c>
      <c r="U7" s="1">
        <v>3001.1350000000002</v>
      </c>
      <c r="V7" s="6">
        <v>27735.49</v>
      </c>
      <c r="W7" s="1"/>
      <c r="X7" s="1"/>
      <c r="Y7" s="1"/>
      <c r="Z7" s="1">
        <v>33234.269999999997</v>
      </c>
      <c r="AA7" s="1"/>
    </row>
    <row r="8" spans="1:27" x14ac:dyDescent="0.25">
      <c r="A8" s="10" t="s">
        <v>25</v>
      </c>
      <c r="B8" s="25">
        <v>945.5</v>
      </c>
      <c r="C8" s="25">
        <v>998.03</v>
      </c>
      <c r="D8" s="25">
        <v>630.33000000000004</v>
      </c>
      <c r="E8" s="25">
        <v>420.22</v>
      </c>
      <c r="F8" s="25">
        <v>367.69</v>
      </c>
      <c r="G8" s="25">
        <v>1103.08</v>
      </c>
      <c r="H8" s="25">
        <v>1155.6099999999999</v>
      </c>
      <c r="I8" s="25">
        <v>1575.83</v>
      </c>
      <c r="J8" s="25">
        <v>1313.2</v>
      </c>
      <c r="K8" s="25">
        <v>735.39</v>
      </c>
      <c r="L8" s="25">
        <v>577.80999999999995</v>
      </c>
      <c r="M8" s="25">
        <v>682.86</v>
      </c>
      <c r="N8" s="27">
        <v>10505.56</v>
      </c>
      <c r="O8" s="87">
        <f>(N8-Z8)/N8</f>
        <v>-9.4683481889590027E-2</v>
      </c>
      <c r="P8" s="1"/>
      <c r="Q8" s="1"/>
      <c r="R8" s="1"/>
      <c r="S8" s="82">
        <v>0.1</v>
      </c>
      <c r="T8" s="1">
        <v>499.529</v>
      </c>
      <c r="U8" s="1">
        <v>600.22699999999998</v>
      </c>
      <c r="V8" s="6">
        <v>10400.51</v>
      </c>
      <c r="W8" s="1"/>
      <c r="X8" s="1"/>
      <c r="Y8" s="1"/>
      <c r="Z8" s="1">
        <v>11500.263000000001</v>
      </c>
      <c r="AA8" s="1"/>
    </row>
    <row r="9" spans="1:27" ht="18.75" customHeight="1" x14ac:dyDescent="0.25">
      <c r="A9" s="10" t="s">
        <v>26</v>
      </c>
      <c r="B9" s="25">
        <v>2941.56</v>
      </c>
      <c r="C9" s="25">
        <v>2521.33</v>
      </c>
      <c r="D9" s="25">
        <v>2521.33</v>
      </c>
      <c r="E9" s="25">
        <v>3361.78</v>
      </c>
      <c r="F9" s="25">
        <v>4202.22</v>
      </c>
      <c r="G9" s="25">
        <v>4202.22</v>
      </c>
      <c r="H9" s="25">
        <v>2521.33</v>
      </c>
      <c r="I9" s="25">
        <v>2101.11</v>
      </c>
      <c r="J9" s="25">
        <v>3361.78</v>
      </c>
      <c r="K9" s="25">
        <v>3782</v>
      </c>
      <c r="L9" s="25">
        <v>6303.34</v>
      </c>
      <c r="M9" s="25">
        <v>4202.22</v>
      </c>
      <c r="N9" s="27">
        <v>42022.25</v>
      </c>
      <c r="O9" s="87">
        <f>(N9-Z9)/N9</f>
        <v>0.15284060229997201</v>
      </c>
      <c r="P9" s="1"/>
      <c r="Q9" s="1"/>
      <c r="R9" s="1"/>
      <c r="S9" s="82">
        <v>0.4</v>
      </c>
      <c r="T9" s="1">
        <v>1998.116</v>
      </c>
      <c r="U9" s="1">
        <v>2400.9079999999999</v>
      </c>
      <c r="V9" s="6">
        <v>31200.52</v>
      </c>
      <c r="W9" s="1"/>
      <c r="X9" s="1"/>
      <c r="Y9" s="1"/>
      <c r="Z9" s="1">
        <v>35599.544000000002</v>
      </c>
      <c r="AA9" s="1"/>
    </row>
    <row r="10" spans="1:27" x14ac:dyDescent="0.25">
      <c r="A10" s="10" t="s">
        <v>27</v>
      </c>
      <c r="B10" s="28">
        <v>5988.17</v>
      </c>
      <c r="C10" s="28">
        <v>5095.2</v>
      </c>
      <c r="D10" s="28">
        <v>5778.06</v>
      </c>
      <c r="E10" s="28">
        <v>9034.7800000000007</v>
      </c>
      <c r="F10" s="28">
        <v>10347.98</v>
      </c>
      <c r="G10" s="28">
        <v>9507.5300000000007</v>
      </c>
      <c r="H10" s="28">
        <v>5778.06</v>
      </c>
      <c r="I10" s="28">
        <v>5252.78</v>
      </c>
      <c r="J10" s="28">
        <v>9927.76</v>
      </c>
      <c r="K10" s="28">
        <v>10295.450000000001</v>
      </c>
      <c r="L10" s="28">
        <v>16336.15</v>
      </c>
      <c r="M10" s="28">
        <v>11713.7</v>
      </c>
      <c r="N10" s="28">
        <v>105055.62</v>
      </c>
      <c r="O10" s="88"/>
      <c r="P10" s="1"/>
      <c r="Q10" s="1"/>
      <c r="R10" s="1"/>
      <c r="S10" s="83"/>
      <c r="T10" s="1">
        <v>4995.29</v>
      </c>
      <c r="U10" s="1">
        <v>6002.27</v>
      </c>
      <c r="V10" s="1">
        <v>69336.517000000007</v>
      </c>
      <c r="W10" s="1"/>
      <c r="X10" s="1"/>
      <c r="Y10" s="1"/>
      <c r="Z10" s="1"/>
      <c r="AA10" s="1"/>
    </row>
    <row r="11" spans="1:27" x14ac:dyDescent="0.25">
      <c r="A11" s="10" t="s">
        <v>28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v>0</v>
      </c>
      <c r="O11" s="88"/>
      <c r="P11" s="1"/>
      <c r="Q11" s="1"/>
      <c r="R11" s="1"/>
      <c r="S11" s="83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0" t="s">
        <v>29</v>
      </c>
      <c r="B12" s="25">
        <v>15478.19</v>
      </c>
      <c r="C12" s="25">
        <v>16445.580000000002</v>
      </c>
      <c r="D12" s="25">
        <v>16445.580000000002</v>
      </c>
      <c r="E12" s="25">
        <v>13543.42</v>
      </c>
      <c r="F12" s="25">
        <v>13543.42</v>
      </c>
      <c r="G12" s="25">
        <v>13543.42</v>
      </c>
      <c r="H12" s="25">
        <v>17412.97</v>
      </c>
      <c r="I12" s="25">
        <v>17412.97</v>
      </c>
      <c r="J12" s="25">
        <v>17412.97</v>
      </c>
      <c r="K12" s="25">
        <v>17412.97</v>
      </c>
      <c r="L12" s="25">
        <v>17412.97</v>
      </c>
      <c r="M12" s="25">
        <v>17412.97</v>
      </c>
      <c r="N12" s="27">
        <v>193477.43</v>
      </c>
      <c r="O12" s="87">
        <f>(N12-Z12)/N12</f>
        <v>0.35142078329239745</v>
      </c>
      <c r="P12" s="1"/>
      <c r="Q12" s="1"/>
      <c r="R12" s="1"/>
      <c r="S12" s="84">
        <v>0.85</v>
      </c>
      <c r="T12" s="5">
        <v>5968.64</v>
      </c>
      <c r="U12" s="5">
        <v>3433.48</v>
      </c>
      <c r="V12" s="5">
        <v>110623.57</v>
      </c>
      <c r="W12" s="5">
        <v>3756.79</v>
      </c>
      <c r="X12" s="5">
        <v>1579.41</v>
      </c>
      <c r="Y12" s="3">
        <v>123.55</v>
      </c>
      <c r="Z12" s="5">
        <v>125485.44</v>
      </c>
      <c r="AA12" s="1"/>
    </row>
    <row r="13" spans="1:27" x14ac:dyDescent="0.25">
      <c r="A13" s="10" t="s">
        <v>30</v>
      </c>
      <c r="B13" s="25">
        <v>682.86</v>
      </c>
      <c r="C13" s="25">
        <v>5121.46</v>
      </c>
      <c r="D13" s="25">
        <v>682.86</v>
      </c>
      <c r="E13" s="25">
        <v>682.86</v>
      </c>
      <c r="F13" s="25">
        <v>5121.46</v>
      </c>
      <c r="G13" s="25">
        <v>2048.58</v>
      </c>
      <c r="H13" s="25">
        <v>1365.72</v>
      </c>
      <c r="I13" s="25">
        <v>7511.48</v>
      </c>
      <c r="J13" s="25">
        <v>4097.17</v>
      </c>
      <c r="K13" s="25">
        <v>5121.46</v>
      </c>
      <c r="L13" s="25">
        <v>682.86</v>
      </c>
      <c r="M13" s="25">
        <v>1024.29</v>
      </c>
      <c r="N13" s="27">
        <v>34143.08</v>
      </c>
      <c r="O13" s="87">
        <f>(N13-Z13)/N13</f>
        <v>0.56382406039525435</v>
      </c>
      <c r="P13" s="1"/>
      <c r="Q13" s="1"/>
      <c r="R13" s="1"/>
      <c r="S13" s="84">
        <v>0.15</v>
      </c>
      <c r="T13" s="5">
        <v>1053.29</v>
      </c>
      <c r="U13" s="3">
        <v>605.91</v>
      </c>
      <c r="V13" s="5">
        <v>12291.51</v>
      </c>
      <c r="W13" s="3">
        <v>662.96</v>
      </c>
      <c r="X13" s="3">
        <v>278.72000000000003</v>
      </c>
      <c r="Y13" s="3"/>
      <c r="Z13" s="5">
        <v>14892.39</v>
      </c>
      <c r="AA13" s="1"/>
    </row>
    <row r="14" spans="1:27" x14ac:dyDescent="0.25">
      <c r="A14" s="10" t="s">
        <v>31</v>
      </c>
      <c r="B14" s="28">
        <v>16161.06</v>
      </c>
      <c r="C14" s="28">
        <v>21567.040000000001</v>
      </c>
      <c r="D14" s="28">
        <v>17128.439999999999</v>
      </c>
      <c r="E14" s="28">
        <v>14226.28</v>
      </c>
      <c r="F14" s="28">
        <v>18664.88</v>
      </c>
      <c r="G14" s="28">
        <v>15592</v>
      </c>
      <c r="H14" s="28">
        <v>18778.689999999999</v>
      </c>
      <c r="I14" s="28">
        <v>24924.45</v>
      </c>
      <c r="J14" s="28">
        <v>21510.14</v>
      </c>
      <c r="K14" s="28">
        <v>22534.43</v>
      </c>
      <c r="L14" s="28">
        <v>18095.830000000002</v>
      </c>
      <c r="M14" s="28">
        <v>18437.259999999998</v>
      </c>
      <c r="N14" s="28">
        <v>227620.51</v>
      </c>
      <c r="O14" s="88"/>
      <c r="P14" s="1"/>
      <c r="Q14" s="1"/>
      <c r="R14" s="1"/>
      <c r="S14" s="85"/>
      <c r="T14" s="5">
        <v>7021.93</v>
      </c>
      <c r="U14" s="5">
        <v>4039.39</v>
      </c>
      <c r="V14" s="5">
        <v>122915.08</v>
      </c>
      <c r="W14" s="5">
        <v>4419.75</v>
      </c>
      <c r="X14" s="5">
        <v>1858.13</v>
      </c>
      <c r="Y14" s="3">
        <v>123.55</v>
      </c>
      <c r="Z14" s="3"/>
      <c r="AA14" s="1"/>
    </row>
    <row r="15" spans="1:27" x14ac:dyDescent="0.25">
      <c r="A15" s="10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v>0</v>
      </c>
      <c r="O15" s="88"/>
      <c r="P15" s="1"/>
      <c r="Q15" s="1"/>
      <c r="R15" s="1"/>
      <c r="S15" s="85"/>
      <c r="T15" s="3"/>
      <c r="U15" s="3"/>
      <c r="V15" s="3"/>
      <c r="W15" s="3"/>
      <c r="X15" s="3"/>
      <c r="Y15" s="3"/>
      <c r="Z15" s="3"/>
      <c r="AA15" s="1"/>
    </row>
    <row r="16" spans="1:27" x14ac:dyDescent="0.25">
      <c r="A16" s="10" t="s">
        <v>33</v>
      </c>
      <c r="B16" s="25">
        <v>188.56</v>
      </c>
      <c r="C16" s="25">
        <v>314.26</v>
      </c>
      <c r="D16" s="25">
        <v>628.53</v>
      </c>
      <c r="E16" s="25">
        <v>691.38</v>
      </c>
      <c r="F16" s="25">
        <v>502.82</v>
      </c>
      <c r="G16" s="25">
        <v>251.41</v>
      </c>
      <c r="H16" s="25">
        <v>188.56</v>
      </c>
      <c r="I16" s="25">
        <v>628.53</v>
      </c>
      <c r="J16" s="25">
        <v>691.38</v>
      </c>
      <c r="K16" s="25">
        <v>1131.3499999999999</v>
      </c>
      <c r="L16" s="25">
        <v>817.08</v>
      </c>
      <c r="M16" s="25">
        <v>251.41</v>
      </c>
      <c r="N16" s="27">
        <v>6285.25</v>
      </c>
      <c r="O16" s="87">
        <f>(N16-Z16)/N16</f>
        <v>0.54536096416212565</v>
      </c>
      <c r="P16" s="1"/>
      <c r="Q16" s="1"/>
      <c r="R16" s="1"/>
      <c r="S16" s="84">
        <v>0.36</v>
      </c>
      <c r="T16" s="3">
        <v>233.07</v>
      </c>
      <c r="U16" s="5">
        <v>1088.3599999999999</v>
      </c>
      <c r="V16" s="5">
        <v>1536.1</v>
      </c>
      <c r="W16" s="3"/>
      <c r="X16" s="3"/>
      <c r="Y16" s="3"/>
      <c r="Z16" s="5">
        <v>2857.52</v>
      </c>
      <c r="AA16" s="1"/>
    </row>
    <row r="17" spans="1:27" x14ac:dyDescent="0.25">
      <c r="A17" s="10" t="s">
        <v>34</v>
      </c>
      <c r="B17" s="25">
        <v>448.96</v>
      </c>
      <c r="C17" s="25">
        <v>336.72</v>
      </c>
      <c r="D17" s="25">
        <v>561.20000000000005</v>
      </c>
      <c r="E17" s="25">
        <v>1122.4000000000001</v>
      </c>
      <c r="F17" s="25">
        <v>1234.6400000000001</v>
      </c>
      <c r="G17" s="25">
        <v>897.92</v>
      </c>
      <c r="H17" s="25">
        <v>448.96</v>
      </c>
      <c r="I17" s="25">
        <v>336.72</v>
      </c>
      <c r="J17" s="25">
        <v>1122.4000000000001</v>
      </c>
      <c r="K17" s="25">
        <v>1234.6400000000001</v>
      </c>
      <c r="L17" s="25">
        <v>2020.32</v>
      </c>
      <c r="M17" s="25">
        <v>1459.12</v>
      </c>
      <c r="N17" s="27">
        <v>11224.02</v>
      </c>
      <c r="O17" s="87">
        <f>(N17-Z17)/N17</f>
        <v>0.5844715173351438</v>
      </c>
      <c r="P17" s="1"/>
      <c r="Q17" s="1"/>
      <c r="R17" s="1"/>
      <c r="S17" s="84">
        <v>0.64</v>
      </c>
      <c r="T17" s="3">
        <v>416.2</v>
      </c>
      <c r="U17" s="5">
        <v>1943.55</v>
      </c>
      <c r="V17" s="5">
        <v>2304.14</v>
      </c>
      <c r="W17" s="3"/>
      <c r="X17" s="3"/>
      <c r="Y17" s="3"/>
      <c r="Z17" s="5">
        <v>4663.8999999999996</v>
      </c>
      <c r="AA17" s="1"/>
    </row>
    <row r="18" spans="1:27" x14ac:dyDescent="0.25">
      <c r="A18" s="10" t="s">
        <v>35</v>
      </c>
      <c r="B18" s="28">
        <v>637.52</v>
      </c>
      <c r="C18" s="28">
        <v>650.98</v>
      </c>
      <c r="D18" s="28">
        <v>1189.73</v>
      </c>
      <c r="E18" s="28">
        <v>1813.78</v>
      </c>
      <c r="F18" s="28">
        <v>1737.46</v>
      </c>
      <c r="G18" s="28">
        <v>1149.33</v>
      </c>
      <c r="H18" s="28">
        <v>637.52</v>
      </c>
      <c r="I18" s="28">
        <v>965.25</v>
      </c>
      <c r="J18" s="28">
        <v>1813.78</v>
      </c>
      <c r="K18" s="28">
        <v>2365.9899999999998</v>
      </c>
      <c r="L18" s="28">
        <v>2837.41</v>
      </c>
      <c r="M18" s="28">
        <v>1710.53</v>
      </c>
      <c r="N18" s="28">
        <v>17509.27</v>
      </c>
      <c r="O18" s="14"/>
      <c r="P18" s="1"/>
      <c r="Q18" s="1"/>
      <c r="R18" s="1"/>
      <c r="S18" s="3"/>
      <c r="T18" s="3">
        <v>649.27</v>
      </c>
      <c r="U18" s="5">
        <v>3031.91</v>
      </c>
      <c r="V18" s="5">
        <v>3840.24</v>
      </c>
      <c r="W18" s="3"/>
      <c r="X18" s="3"/>
      <c r="Y18" s="3"/>
      <c r="Z18" s="3"/>
      <c r="AA18" s="1"/>
    </row>
    <row r="19" spans="1:27" x14ac:dyDescent="0.25">
      <c r="A19" s="10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>
        <v>0</v>
      </c>
      <c r="O19" s="31"/>
      <c r="P19" s="1"/>
      <c r="Q19" s="1"/>
      <c r="R19" s="1"/>
      <c r="S19" s="3"/>
      <c r="T19" s="5">
        <v>12666.49</v>
      </c>
      <c r="U19" s="5">
        <v>13073.57</v>
      </c>
      <c r="V19" s="5">
        <v>196091.84</v>
      </c>
      <c r="W19" s="5">
        <v>4419.75</v>
      </c>
      <c r="X19" s="5">
        <v>1858.13</v>
      </c>
      <c r="Y19" s="3">
        <v>123.55</v>
      </c>
      <c r="Z19" s="5">
        <v>228233.33</v>
      </c>
      <c r="AA19" s="1"/>
    </row>
    <row r="20" spans="1:27" x14ac:dyDescent="0.25">
      <c r="A20" s="10" t="s">
        <v>37</v>
      </c>
      <c r="B20" s="25"/>
      <c r="C20" s="25"/>
      <c r="D20" s="25"/>
      <c r="E20" s="25"/>
      <c r="F20" s="24"/>
      <c r="G20" s="24"/>
      <c r="H20" s="25"/>
      <c r="I20" s="24">
        <v>130.96</v>
      </c>
      <c r="J20" s="24"/>
      <c r="K20" s="24">
        <v>19.440000000000001</v>
      </c>
      <c r="L20" s="24"/>
      <c r="M20" s="24">
        <v>931.71</v>
      </c>
      <c r="N20" s="27">
        <v>1082.1099999999999</v>
      </c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0" t="s">
        <v>38</v>
      </c>
      <c r="B21" s="25"/>
      <c r="C21" s="25"/>
      <c r="D21" s="25"/>
      <c r="E21" s="25"/>
      <c r="F21" s="24">
        <v>200.68</v>
      </c>
      <c r="G21" s="24">
        <v>401.36</v>
      </c>
      <c r="H21" s="24">
        <v>200.68</v>
      </c>
      <c r="I21" s="24">
        <v>200.68</v>
      </c>
      <c r="J21" s="24">
        <v>200.68</v>
      </c>
      <c r="K21" s="24">
        <v>401.36</v>
      </c>
      <c r="L21" s="24">
        <v>200.68</v>
      </c>
      <c r="M21" s="24">
        <v>200.68</v>
      </c>
      <c r="N21" s="27">
        <v>2006.8</v>
      </c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7" t="s">
        <v>39</v>
      </c>
      <c r="B22" s="28">
        <v>22786.74</v>
      </c>
      <c r="C22" s="28">
        <v>27313.22</v>
      </c>
      <c r="D22" s="28">
        <v>24096.23</v>
      </c>
      <c r="E22" s="28">
        <v>25074.84</v>
      </c>
      <c r="F22" s="28">
        <v>30951</v>
      </c>
      <c r="G22" s="28">
        <v>26650.23</v>
      </c>
      <c r="H22" s="28">
        <v>25394.95</v>
      </c>
      <c r="I22" s="28">
        <v>31474.11</v>
      </c>
      <c r="J22" s="28">
        <v>33452.35</v>
      </c>
      <c r="K22" s="28">
        <v>35616.67</v>
      </c>
      <c r="L22" s="28">
        <v>37470.07</v>
      </c>
      <c r="M22" s="28">
        <v>32993.89</v>
      </c>
      <c r="N22" s="28">
        <v>353274.31</v>
      </c>
      <c r="O22" s="14"/>
      <c r="P22" s="1"/>
      <c r="Q22" s="33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0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1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0" t="s">
        <v>40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7">
        <v>0</v>
      </c>
      <c r="O24" s="1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0" t="s">
        <v>41</v>
      </c>
      <c r="B25" s="24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7">
        <v>0</v>
      </c>
      <c r="O25" s="1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0" t="s">
        <v>42</v>
      </c>
      <c r="B26" s="25">
        <v>300.11</v>
      </c>
      <c r="C26" s="25">
        <v>360.13</v>
      </c>
      <c r="D26" s="25">
        <v>420.15</v>
      </c>
      <c r="E26" s="25">
        <v>510.19</v>
      </c>
      <c r="F26" s="25">
        <v>540.20000000000005</v>
      </c>
      <c r="G26" s="25">
        <v>480.18</v>
      </c>
      <c r="H26" s="25">
        <v>300.11</v>
      </c>
      <c r="I26" s="25">
        <v>360.13</v>
      </c>
      <c r="J26" s="25">
        <v>510.19</v>
      </c>
      <c r="K26" s="25">
        <v>780.29</v>
      </c>
      <c r="L26" s="25">
        <v>780.29</v>
      </c>
      <c r="M26" s="25">
        <v>660.3</v>
      </c>
      <c r="N26" s="27">
        <v>6002.27</v>
      </c>
      <c r="O26" s="1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0" t="s">
        <v>43</v>
      </c>
      <c r="B27" s="24">
        <v>282.75</v>
      </c>
      <c r="C27" s="24">
        <v>403.93</v>
      </c>
      <c r="D27" s="24">
        <v>282.75</v>
      </c>
      <c r="E27" s="24">
        <v>242.36</v>
      </c>
      <c r="F27" s="25">
        <v>323.14999999999998</v>
      </c>
      <c r="G27" s="25">
        <v>282.75</v>
      </c>
      <c r="H27" s="25">
        <v>323.14999999999998</v>
      </c>
      <c r="I27" s="25">
        <v>403.9</v>
      </c>
      <c r="J27" s="25">
        <v>363.54</v>
      </c>
      <c r="K27" s="25">
        <v>403.9</v>
      </c>
      <c r="L27" s="25">
        <v>363.67</v>
      </c>
      <c r="M27" s="25">
        <v>363.54</v>
      </c>
      <c r="N27" s="27">
        <v>4039.39</v>
      </c>
      <c r="O27" s="1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0" t="s">
        <v>44</v>
      </c>
      <c r="B28" s="24">
        <v>150.59</v>
      </c>
      <c r="C28" s="24">
        <v>145.94999999999999</v>
      </c>
      <c r="D28" s="24">
        <v>212.23</v>
      </c>
      <c r="E28" s="24">
        <v>215.65</v>
      </c>
      <c r="F28" s="25">
        <v>303.10000000000002</v>
      </c>
      <c r="G28" s="25">
        <v>240.1</v>
      </c>
      <c r="H28" s="25">
        <v>202.45</v>
      </c>
      <c r="I28" s="25">
        <v>273.87</v>
      </c>
      <c r="J28" s="25">
        <v>242.55</v>
      </c>
      <c r="K28" s="25">
        <v>363.82</v>
      </c>
      <c r="L28" s="25">
        <v>384.81</v>
      </c>
      <c r="M28" s="25">
        <v>296.79000000000002</v>
      </c>
      <c r="N28" s="27">
        <v>3031.91</v>
      </c>
      <c r="O28" s="1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0" t="s">
        <v>45</v>
      </c>
      <c r="B29" s="28">
        <v>733.45</v>
      </c>
      <c r="C29" s="28">
        <v>910.01</v>
      </c>
      <c r="D29" s="28">
        <v>915.13</v>
      </c>
      <c r="E29" s="28">
        <v>968.2</v>
      </c>
      <c r="F29" s="28">
        <v>1166.45</v>
      </c>
      <c r="G29" s="28">
        <v>1003.03</v>
      </c>
      <c r="H29" s="28">
        <v>825.71</v>
      </c>
      <c r="I29" s="28">
        <v>1037.9000000000001</v>
      </c>
      <c r="J29" s="28">
        <v>1116.28</v>
      </c>
      <c r="K29" s="28">
        <v>1548.01</v>
      </c>
      <c r="L29" s="28">
        <v>1528.77</v>
      </c>
      <c r="M29" s="28">
        <v>1320.63</v>
      </c>
      <c r="N29" s="28">
        <v>13073.57</v>
      </c>
      <c r="O29" s="1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0" t="s">
        <v>46</v>
      </c>
      <c r="B30" s="25"/>
      <c r="C30" s="25"/>
      <c r="D30" s="24"/>
      <c r="E30" s="24"/>
      <c r="F30" s="24"/>
      <c r="G30" s="24"/>
      <c r="H30" s="25"/>
      <c r="I30" s="24"/>
      <c r="J30" s="24"/>
      <c r="K30" s="24"/>
      <c r="L30" s="24"/>
      <c r="M30" s="25"/>
      <c r="N30" s="27">
        <v>0</v>
      </c>
      <c r="O30" s="38"/>
      <c r="P30" s="4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3" customHeight="1" x14ac:dyDescent="0.25">
      <c r="A31" s="10" t="s">
        <v>47</v>
      </c>
      <c r="B31" s="24">
        <v>1386.77</v>
      </c>
      <c r="C31" s="24">
        <v>1664.12</v>
      </c>
      <c r="D31" s="24">
        <v>1941.48</v>
      </c>
      <c r="E31" s="24">
        <v>2357.5100000000002</v>
      </c>
      <c r="F31" s="24">
        <v>2496.19</v>
      </c>
      <c r="G31" s="24">
        <v>2218.83</v>
      </c>
      <c r="H31" s="24">
        <v>1386.77</v>
      </c>
      <c r="I31" s="24">
        <v>1664.12</v>
      </c>
      <c r="J31" s="24">
        <v>2357.5100000000002</v>
      </c>
      <c r="K31" s="24">
        <v>3605.61</v>
      </c>
      <c r="L31" s="24">
        <v>3605.61</v>
      </c>
      <c r="M31" s="24">
        <v>3050.97</v>
      </c>
      <c r="N31" s="27">
        <v>27735.49</v>
      </c>
      <c r="O31" s="3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9" t="s">
        <v>48</v>
      </c>
      <c r="B32" s="25">
        <v>988.04</v>
      </c>
      <c r="C32" s="25">
        <v>936.04</v>
      </c>
      <c r="D32" s="24">
        <v>624.03</v>
      </c>
      <c r="E32" s="24">
        <v>364.02</v>
      </c>
      <c r="F32" s="24">
        <v>416.02</v>
      </c>
      <c r="G32" s="24">
        <v>1144.05</v>
      </c>
      <c r="H32" s="25">
        <v>1092.05</v>
      </c>
      <c r="I32" s="24">
        <v>1300.06</v>
      </c>
      <c r="J32" s="24">
        <v>1560.07</v>
      </c>
      <c r="K32" s="24">
        <v>728.03</v>
      </c>
      <c r="L32" s="24">
        <v>572.02</v>
      </c>
      <c r="M32" s="25">
        <v>676.08</v>
      </c>
      <c r="N32" s="27">
        <v>10400.51</v>
      </c>
      <c r="O32" s="3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9" t="s">
        <v>49</v>
      </c>
      <c r="B33" s="25">
        <v>1872.03</v>
      </c>
      <c r="C33" s="25">
        <v>2084.5500000000002</v>
      </c>
      <c r="D33" s="24">
        <v>1716.02</v>
      </c>
      <c r="E33" s="24">
        <v>2384.0300000000002</v>
      </c>
      <c r="F33" s="24">
        <v>3432.05</v>
      </c>
      <c r="G33" s="24">
        <v>2808.04</v>
      </c>
      <c r="H33" s="25">
        <v>2174.0300000000002</v>
      </c>
      <c r="I33" s="24">
        <v>1744.03</v>
      </c>
      <c r="J33" s="24">
        <v>2340</v>
      </c>
      <c r="K33" s="24">
        <v>3120.12</v>
      </c>
      <c r="L33" s="24">
        <v>4368.07</v>
      </c>
      <c r="M33" s="25">
        <v>3157.55</v>
      </c>
      <c r="N33" s="27">
        <v>31200.52</v>
      </c>
      <c r="O33" s="3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 customHeight="1" x14ac:dyDescent="0.25">
      <c r="A34" s="10" t="s">
        <v>50</v>
      </c>
      <c r="B34" s="25">
        <v>9403.08</v>
      </c>
      <c r="C34" s="25">
        <v>8296.76</v>
      </c>
      <c r="D34" s="24">
        <v>8628.6299999999992</v>
      </c>
      <c r="E34" s="24">
        <v>7522.4</v>
      </c>
      <c r="F34" s="24">
        <v>7566.64</v>
      </c>
      <c r="G34" s="24">
        <v>7743.64</v>
      </c>
      <c r="H34" s="25">
        <v>9734.8700000000008</v>
      </c>
      <c r="I34" s="24">
        <v>10841.1</v>
      </c>
      <c r="J34" s="24">
        <v>9513.6200000000008</v>
      </c>
      <c r="K34" s="24">
        <v>9734.8700000000008</v>
      </c>
      <c r="L34" s="24">
        <v>12168.59</v>
      </c>
      <c r="M34" s="25">
        <v>9469.3700000000008</v>
      </c>
      <c r="N34" s="27">
        <v>110623.57</v>
      </c>
      <c r="O34" s="3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0" t="s">
        <v>51</v>
      </c>
      <c r="B35" s="25">
        <v>245.83</v>
      </c>
      <c r="C35" s="25">
        <v>1843.72</v>
      </c>
      <c r="D35" s="24">
        <v>245.83</v>
      </c>
      <c r="E35" s="24">
        <v>245.83</v>
      </c>
      <c r="F35" s="24">
        <v>1843.72</v>
      </c>
      <c r="G35" s="24">
        <v>737.4</v>
      </c>
      <c r="H35" s="25">
        <v>491.66</v>
      </c>
      <c r="I35" s="24">
        <v>2704.13</v>
      </c>
      <c r="J35" s="24">
        <v>1474.98</v>
      </c>
      <c r="K35" s="24">
        <v>1843.74</v>
      </c>
      <c r="L35" s="24">
        <v>245.83</v>
      </c>
      <c r="M35" s="25">
        <v>368.84</v>
      </c>
      <c r="N35" s="27">
        <v>12291.51</v>
      </c>
      <c r="O35" s="3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0" t="s">
        <v>52</v>
      </c>
      <c r="B36" s="25">
        <v>53.76</v>
      </c>
      <c r="C36" s="25">
        <v>82.94</v>
      </c>
      <c r="D36" s="24">
        <v>130.56</v>
      </c>
      <c r="E36" s="24">
        <v>164.97</v>
      </c>
      <c r="F36" s="24">
        <v>122.88</v>
      </c>
      <c r="G36" s="24">
        <v>64.510000000000005</v>
      </c>
      <c r="H36" s="25">
        <v>72.19</v>
      </c>
      <c r="I36" s="24">
        <v>168.97</v>
      </c>
      <c r="J36" s="24">
        <v>184.33</v>
      </c>
      <c r="K36" s="24">
        <v>207.37</v>
      </c>
      <c r="L36" s="24">
        <v>199.14</v>
      </c>
      <c r="M36" s="25">
        <v>84.48</v>
      </c>
      <c r="N36" s="27">
        <v>1536.1</v>
      </c>
      <c r="O36" s="3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0" t="s">
        <v>53</v>
      </c>
      <c r="B37" s="25">
        <v>115.2</v>
      </c>
      <c r="C37" s="25">
        <v>92.16</v>
      </c>
      <c r="D37" s="24">
        <v>69.12</v>
      </c>
      <c r="E37" s="24">
        <v>69.12</v>
      </c>
      <c r="F37" s="24">
        <v>230.41</v>
      </c>
      <c r="G37" s="24">
        <v>253.45</v>
      </c>
      <c r="H37" s="25">
        <v>184.33</v>
      </c>
      <c r="I37" s="24">
        <v>92.16</v>
      </c>
      <c r="J37" s="24">
        <v>230.41</v>
      </c>
      <c r="K37" s="24">
        <v>299.58999999999997</v>
      </c>
      <c r="L37" s="24">
        <v>414.74</v>
      </c>
      <c r="M37" s="25">
        <v>253.45</v>
      </c>
      <c r="N37" s="27">
        <v>2304.14</v>
      </c>
      <c r="O37" s="3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0" t="s">
        <v>54</v>
      </c>
      <c r="B38" s="28">
        <v>14064.71</v>
      </c>
      <c r="C38" s="28">
        <v>15000.29</v>
      </c>
      <c r="D38" s="28">
        <v>13355.67</v>
      </c>
      <c r="E38" s="28">
        <v>13107.88</v>
      </c>
      <c r="F38" s="28">
        <v>16107.91</v>
      </c>
      <c r="G38" s="28">
        <v>14969.92</v>
      </c>
      <c r="H38" s="28">
        <v>15135.9</v>
      </c>
      <c r="I38" s="28">
        <v>18514.57</v>
      </c>
      <c r="J38" s="28">
        <v>17660.919999999998</v>
      </c>
      <c r="K38" s="28">
        <v>19539.330000000002</v>
      </c>
      <c r="L38" s="28">
        <v>21574</v>
      </c>
      <c r="M38" s="28">
        <v>17060.740000000002</v>
      </c>
      <c r="N38" s="28">
        <v>196091.84</v>
      </c>
      <c r="O38" s="1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4"/>
      <c r="J39" s="25"/>
      <c r="K39" s="24"/>
      <c r="L39" s="24"/>
      <c r="M39" s="24">
        <v>123.55</v>
      </c>
      <c r="N39" s="27">
        <v>123.55</v>
      </c>
      <c r="O39" s="1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0" t="s">
        <v>56</v>
      </c>
      <c r="B40" s="25"/>
      <c r="C40" s="25"/>
      <c r="D40" s="25"/>
      <c r="E40" s="25"/>
      <c r="F40" s="25"/>
      <c r="G40" s="25"/>
      <c r="H40" s="25"/>
      <c r="I40" s="24">
        <v>1016.54</v>
      </c>
      <c r="J40" s="25">
        <v>839.75</v>
      </c>
      <c r="K40" s="24">
        <v>1237.53</v>
      </c>
      <c r="L40" s="24">
        <v>751.35</v>
      </c>
      <c r="M40" s="24">
        <v>574.58000000000004</v>
      </c>
      <c r="N40" s="27">
        <v>4419.75</v>
      </c>
      <c r="O40" s="1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0" t="s">
        <v>57</v>
      </c>
      <c r="B41" s="25"/>
      <c r="C41" s="25"/>
      <c r="D41" s="25"/>
      <c r="E41" s="25"/>
      <c r="F41" s="25"/>
      <c r="G41" s="25"/>
      <c r="H41" s="25"/>
      <c r="I41" s="24">
        <v>353.04</v>
      </c>
      <c r="J41" s="25">
        <v>408.79</v>
      </c>
      <c r="K41" s="24">
        <v>427.37</v>
      </c>
      <c r="L41" s="24">
        <v>408.79</v>
      </c>
      <c r="M41" s="24">
        <v>260.14</v>
      </c>
      <c r="N41" s="27">
        <v>1858.13</v>
      </c>
      <c r="O41" s="1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0" t="s">
        <v>58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1369.58</v>
      </c>
      <c r="J42" s="28">
        <v>1248.54</v>
      </c>
      <c r="K42" s="28">
        <v>1664.9</v>
      </c>
      <c r="L42" s="28">
        <v>1160.1400000000001</v>
      </c>
      <c r="M42" s="28">
        <v>834.72</v>
      </c>
      <c r="N42" s="28">
        <v>6277.88</v>
      </c>
      <c r="O42" s="1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0" t="s">
        <v>59</v>
      </c>
      <c r="B43" s="25"/>
      <c r="C43" s="25"/>
      <c r="D43" s="25"/>
      <c r="E43" s="25"/>
      <c r="F43" s="25"/>
      <c r="G43" s="25"/>
      <c r="H43" s="25"/>
      <c r="I43" s="24"/>
      <c r="J43" s="25"/>
      <c r="K43" s="25"/>
      <c r="L43" s="24"/>
      <c r="M43" s="25"/>
      <c r="N43" s="27">
        <v>0</v>
      </c>
      <c r="O43" s="1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0" t="s">
        <v>60</v>
      </c>
      <c r="B44" s="24">
        <v>249.76</v>
      </c>
      <c r="C44" s="24">
        <v>299.70999999999998</v>
      </c>
      <c r="D44" s="24">
        <v>349.67</v>
      </c>
      <c r="E44" s="24">
        <v>424.6</v>
      </c>
      <c r="F44" s="24">
        <v>449.5</v>
      </c>
      <c r="G44" s="24">
        <v>399.62</v>
      </c>
      <c r="H44" s="24">
        <v>249.76</v>
      </c>
      <c r="I44" s="24">
        <v>299.70999999999998</v>
      </c>
      <c r="J44" s="24">
        <v>424.73</v>
      </c>
      <c r="K44" s="24">
        <v>649.38</v>
      </c>
      <c r="L44" s="24">
        <v>649.38</v>
      </c>
      <c r="M44" s="24">
        <v>549.47</v>
      </c>
      <c r="N44" s="27">
        <v>4995.29</v>
      </c>
      <c r="O44" s="1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0" t="s">
        <v>61</v>
      </c>
      <c r="B45" s="25">
        <v>491.53</v>
      </c>
      <c r="C45" s="25">
        <v>702.19</v>
      </c>
      <c r="D45" s="25">
        <v>491.53</v>
      </c>
      <c r="E45" s="24">
        <v>421.31</v>
      </c>
      <c r="F45" s="25">
        <v>561.75</v>
      </c>
      <c r="G45" s="25">
        <v>491.53</v>
      </c>
      <c r="H45" s="25">
        <v>561.75</v>
      </c>
      <c r="I45" s="25">
        <v>702.19</v>
      </c>
      <c r="J45" s="25">
        <v>631.97</v>
      </c>
      <c r="K45" s="25">
        <v>702.19</v>
      </c>
      <c r="L45" s="25">
        <v>632.03</v>
      </c>
      <c r="M45" s="24">
        <v>631.96</v>
      </c>
      <c r="N45" s="27">
        <v>7021.93</v>
      </c>
      <c r="O45" s="1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0" t="s">
        <v>62</v>
      </c>
      <c r="B46" s="25"/>
      <c r="C46" s="25"/>
      <c r="D46" s="25"/>
      <c r="E46" s="24"/>
      <c r="F46" s="25"/>
      <c r="G46" s="25"/>
      <c r="H46" s="25"/>
      <c r="I46" s="25">
        <v>105.55</v>
      </c>
      <c r="J46" s="25"/>
      <c r="K46" s="25">
        <v>15.27</v>
      </c>
      <c r="L46" s="25"/>
      <c r="M46" s="25">
        <v>528.45000000000005</v>
      </c>
      <c r="N46" s="27">
        <v>649.27</v>
      </c>
      <c r="O46" s="1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0" t="s">
        <v>63</v>
      </c>
      <c r="B47" s="28">
        <v>741.29</v>
      </c>
      <c r="C47" s="28">
        <v>1001.9</v>
      </c>
      <c r="D47" s="28">
        <v>841.2</v>
      </c>
      <c r="E47" s="28">
        <v>845.91</v>
      </c>
      <c r="F47" s="28">
        <v>1011.25</v>
      </c>
      <c r="G47" s="28">
        <v>891.15</v>
      </c>
      <c r="H47" s="28">
        <v>811.51</v>
      </c>
      <c r="I47" s="28">
        <v>1107.45</v>
      </c>
      <c r="J47" s="28">
        <v>1056.7</v>
      </c>
      <c r="K47" s="28">
        <v>1366.84</v>
      </c>
      <c r="L47" s="28">
        <v>1281.4100000000001</v>
      </c>
      <c r="M47" s="28">
        <v>1709.88</v>
      </c>
      <c r="N47" s="28">
        <v>12666.49</v>
      </c>
      <c r="O47" s="1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0" t="s">
        <v>64</v>
      </c>
      <c r="B48" s="28">
        <v>15539.45</v>
      </c>
      <c r="C48" s="28">
        <v>16912.2</v>
      </c>
      <c r="D48" s="28">
        <v>15112</v>
      </c>
      <c r="E48" s="28">
        <v>14921.99</v>
      </c>
      <c r="F48" s="28">
        <v>18285.61</v>
      </c>
      <c r="G48" s="28">
        <v>16864.099999999999</v>
      </c>
      <c r="H48" s="28">
        <v>16773.12</v>
      </c>
      <c r="I48" s="28">
        <v>22029.5</v>
      </c>
      <c r="J48" s="28">
        <v>21082.44</v>
      </c>
      <c r="K48" s="28">
        <v>24119.08</v>
      </c>
      <c r="L48" s="28">
        <v>25544.32</v>
      </c>
      <c r="M48" s="28">
        <v>21049.52</v>
      </c>
      <c r="N48" s="28">
        <v>228233.33</v>
      </c>
      <c r="O48" s="1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34" t="s">
        <v>65</v>
      </c>
      <c r="B49" s="28">
        <v>7247.29</v>
      </c>
      <c r="C49" s="28">
        <v>10401.02</v>
      </c>
      <c r="D49" s="28">
        <v>8984.23</v>
      </c>
      <c r="E49" s="28">
        <v>10152.86</v>
      </c>
      <c r="F49" s="28">
        <v>12665.39</v>
      </c>
      <c r="G49" s="28">
        <v>9786.1299999999992</v>
      </c>
      <c r="H49" s="28">
        <v>8621.83</v>
      </c>
      <c r="I49" s="28">
        <v>9444.61</v>
      </c>
      <c r="J49" s="28">
        <v>12369.92</v>
      </c>
      <c r="K49" s="28">
        <v>11497.59</v>
      </c>
      <c r="L49" s="28">
        <v>11925.75</v>
      </c>
      <c r="M49" s="28">
        <v>11944.37</v>
      </c>
      <c r="N49" s="28">
        <v>125040.98</v>
      </c>
      <c r="O49" s="1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7" t="s">
        <v>66</v>
      </c>
      <c r="B50" s="82">
        <v>0.32</v>
      </c>
      <c r="C50" s="82">
        <v>0.38</v>
      </c>
      <c r="D50" s="82">
        <v>0.37</v>
      </c>
      <c r="E50" s="82">
        <v>0.4</v>
      </c>
      <c r="F50" s="82">
        <v>0.41</v>
      </c>
      <c r="G50" s="82">
        <v>0.37</v>
      </c>
      <c r="H50" s="82">
        <v>0.34</v>
      </c>
      <c r="I50" s="82">
        <v>0.3</v>
      </c>
      <c r="J50" s="82">
        <v>0.37</v>
      </c>
      <c r="K50" s="82">
        <v>0.32</v>
      </c>
      <c r="L50" s="82">
        <v>0.32</v>
      </c>
      <c r="M50" s="82">
        <v>0.36</v>
      </c>
      <c r="N50" s="82">
        <v>0.35</v>
      </c>
      <c r="O50" s="1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0" t="s">
        <v>67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0" t="s">
        <v>68</v>
      </c>
      <c r="B53" s="8">
        <v>250</v>
      </c>
      <c r="C53" s="21">
        <v>1931.2</v>
      </c>
      <c r="D53" s="8">
        <v>250</v>
      </c>
      <c r="E53" s="8">
        <v>250</v>
      </c>
      <c r="F53" s="8">
        <v>250</v>
      </c>
      <c r="G53" s="8">
        <v>250</v>
      </c>
      <c r="H53" s="8">
        <v>250</v>
      </c>
      <c r="I53" s="8">
        <v>399.43</v>
      </c>
      <c r="J53" s="8">
        <v>250</v>
      </c>
      <c r="K53" s="8">
        <v>250</v>
      </c>
      <c r="L53" s="8">
        <v>250</v>
      </c>
      <c r="M53" s="8">
        <v>250</v>
      </c>
      <c r="N53" s="20">
        <v>4830.63</v>
      </c>
      <c r="O53" s="1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0" t="s">
        <v>69</v>
      </c>
      <c r="B54" s="8"/>
      <c r="C54" s="8"/>
      <c r="D54" s="8">
        <v>200</v>
      </c>
      <c r="E54" s="8">
        <v>100</v>
      </c>
      <c r="F54" s="13">
        <v>250</v>
      </c>
      <c r="G54" s="13">
        <v>112.24</v>
      </c>
      <c r="H54" s="13"/>
      <c r="I54" s="13">
        <v>450</v>
      </c>
      <c r="J54" s="13">
        <v>50</v>
      </c>
      <c r="K54" s="13">
        <v>25</v>
      </c>
      <c r="L54" s="13"/>
      <c r="M54" s="13">
        <v>200</v>
      </c>
      <c r="N54" s="20">
        <v>1387.24</v>
      </c>
      <c r="O54" s="1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0" t="s">
        <v>70</v>
      </c>
      <c r="B55" s="8"/>
      <c r="C55" s="8"/>
      <c r="D55" s="8">
        <v>51.55</v>
      </c>
      <c r="E55" s="8">
        <v>58.65</v>
      </c>
      <c r="F55" s="8">
        <v>40.549999999999997</v>
      </c>
      <c r="G55" s="13">
        <v>76.55</v>
      </c>
      <c r="H55" s="13">
        <v>42.97</v>
      </c>
      <c r="I55" s="13">
        <v>86.55</v>
      </c>
      <c r="J55" s="13">
        <v>55.65</v>
      </c>
      <c r="K55" s="13">
        <v>44.55</v>
      </c>
      <c r="L55" s="13">
        <v>3.9</v>
      </c>
      <c r="M55" s="13"/>
      <c r="N55" s="13">
        <v>460.92</v>
      </c>
      <c r="O55" s="1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0" t="s">
        <v>71</v>
      </c>
      <c r="B56" s="8">
        <v>500</v>
      </c>
      <c r="C56" s="8">
        <v>500</v>
      </c>
      <c r="D56" s="8">
        <v>500</v>
      </c>
      <c r="E56" s="8">
        <v>500</v>
      </c>
      <c r="F56" s="8">
        <v>500</v>
      </c>
      <c r="G56" s="8">
        <v>500</v>
      </c>
      <c r="H56" s="8">
        <v>500</v>
      </c>
      <c r="I56" s="8">
        <v>752.41</v>
      </c>
      <c r="J56" s="8">
        <v>500</v>
      </c>
      <c r="K56" s="8">
        <v>500</v>
      </c>
      <c r="L56" s="8">
        <v>500</v>
      </c>
      <c r="M56" s="8">
        <v>500</v>
      </c>
      <c r="N56" s="20">
        <v>6252.41</v>
      </c>
      <c r="O56" s="1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0" t="s">
        <v>72</v>
      </c>
      <c r="B57" s="12">
        <v>750</v>
      </c>
      <c r="C57" s="12">
        <v>2431.1999999999998</v>
      </c>
      <c r="D57" s="12">
        <v>1001.55</v>
      </c>
      <c r="E57" s="12">
        <v>908.65</v>
      </c>
      <c r="F57" s="12">
        <v>1040.55</v>
      </c>
      <c r="G57" s="12">
        <v>938.79</v>
      </c>
      <c r="H57" s="12">
        <v>792.97</v>
      </c>
      <c r="I57" s="12">
        <v>1688.39</v>
      </c>
      <c r="J57" s="12">
        <v>855.65</v>
      </c>
      <c r="K57" s="12">
        <v>819.55</v>
      </c>
      <c r="L57" s="12">
        <v>753.9</v>
      </c>
      <c r="M57" s="12">
        <v>950</v>
      </c>
      <c r="N57" s="12">
        <v>12931.2</v>
      </c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34" t="s">
        <v>73</v>
      </c>
      <c r="B58" s="13">
        <v>750</v>
      </c>
      <c r="C58" s="13">
        <v>750</v>
      </c>
      <c r="D58" s="13">
        <v>750</v>
      </c>
      <c r="E58" s="13">
        <v>750</v>
      </c>
      <c r="F58" s="13">
        <v>750</v>
      </c>
      <c r="G58" s="13">
        <v>750</v>
      </c>
      <c r="H58" s="13">
        <v>750</v>
      </c>
      <c r="I58" s="13">
        <v>750</v>
      </c>
      <c r="J58" s="13">
        <v>750</v>
      </c>
      <c r="K58" s="13">
        <v>750</v>
      </c>
      <c r="L58" s="13">
        <v>750</v>
      </c>
      <c r="M58" s="13">
        <v>826.42</v>
      </c>
      <c r="N58" s="20">
        <v>9076.42</v>
      </c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0" t="s">
        <v>74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3">
        <v>0</v>
      </c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0" t="s">
        <v>75</v>
      </c>
      <c r="B60" s="8"/>
      <c r="C60" s="8"/>
      <c r="D60" s="8"/>
      <c r="E60" s="8"/>
      <c r="F60" s="8"/>
      <c r="G60" s="8">
        <v>97.96</v>
      </c>
      <c r="H60" s="8"/>
      <c r="I60" s="8"/>
      <c r="J60" s="8"/>
      <c r="K60" s="8"/>
      <c r="L60" s="8"/>
      <c r="M60" s="8"/>
      <c r="N60" s="13">
        <v>97.96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0" t="s">
        <v>76</v>
      </c>
      <c r="B61" s="13">
        <v>103.56</v>
      </c>
      <c r="C61" s="13">
        <v>106.46</v>
      </c>
      <c r="D61" s="13">
        <v>118.44</v>
      </c>
      <c r="E61" s="13">
        <v>165.13</v>
      </c>
      <c r="F61" s="13">
        <v>167.55</v>
      </c>
      <c r="G61" s="13">
        <v>163.69999999999999</v>
      </c>
      <c r="H61" s="13">
        <v>126.24</v>
      </c>
      <c r="I61" s="13">
        <v>93.22</v>
      </c>
      <c r="J61" s="13">
        <v>109.01</v>
      </c>
      <c r="K61" s="13">
        <v>135.97</v>
      </c>
      <c r="L61" s="13">
        <v>132.30000000000001</v>
      </c>
      <c r="M61" s="13">
        <v>145.02000000000001</v>
      </c>
      <c r="N61" s="20">
        <v>1566.6</v>
      </c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0" t="s">
        <v>77</v>
      </c>
      <c r="B62" s="13">
        <v>5.37</v>
      </c>
      <c r="C62" s="13">
        <v>4.29</v>
      </c>
      <c r="D62" s="13">
        <v>8.0500000000000007</v>
      </c>
      <c r="E62" s="13"/>
      <c r="F62" s="13">
        <v>1.28</v>
      </c>
      <c r="G62" s="13">
        <v>6.45</v>
      </c>
      <c r="H62" s="13">
        <v>4.21</v>
      </c>
      <c r="I62" s="13">
        <v>6.89</v>
      </c>
      <c r="J62" s="13">
        <v>8.43</v>
      </c>
      <c r="K62" s="13">
        <v>4.3899999999999997</v>
      </c>
      <c r="L62" s="13"/>
      <c r="M62" s="13">
        <v>8.4499999999999993</v>
      </c>
      <c r="N62" s="13">
        <v>57.81</v>
      </c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0" t="s">
        <v>78</v>
      </c>
      <c r="B63" s="13">
        <v>37.72</v>
      </c>
      <c r="C63" s="13">
        <v>45.04</v>
      </c>
      <c r="D63" s="13">
        <v>57.61</v>
      </c>
      <c r="E63" s="13">
        <v>66.67</v>
      </c>
      <c r="F63" s="13">
        <v>60.27</v>
      </c>
      <c r="G63" s="13">
        <v>53.63</v>
      </c>
      <c r="H63" s="13">
        <v>68.11</v>
      </c>
      <c r="I63" s="13">
        <v>95.96</v>
      </c>
      <c r="J63" s="13">
        <v>76.75</v>
      </c>
      <c r="K63" s="13">
        <v>110.66</v>
      </c>
      <c r="L63" s="13">
        <v>75.95</v>
      </c>
      <c r="M63" s="13">
        <v>74.930000000000007</v>
      </c>
      <c r="N63" s="13">
        <v>823.3</v>
      </c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0" t="s">
        <v>79</v>
      </c>
      <c r="B64" s="13">
        <v>341.6</v>
      </c>
      <c r="C64" s="13">
        <v>434.18</v>
      </c>
      <c r="D64" s="13">
        <v>342.85</v>
      </c>
      <c r="E64" s="13">
        <v>287.10000000000002</v>
      </c>
      <c r="F64" s="13">
        <v>378.43</v>
      </c>
      <c r="G64" s="13">
        <v>313.27999999999997</v>
      </c>
      <c r="H64" s="13">
        <v>383.68</v>
      </c>
      <c r="I64" s="13">
        <v>497.99</v>
      </c>
      <c r="J64" s="13">
        <v>434.05</v>
      </c>
      <c r="K64" s="13">
        <v>455.43</v>
      </c>
      <c r="L64" s="13">
        <v>380.1</v>
      </c>
      <c r="M64" s="13">
        <v>361.43</v>
      </c>
      <c r="N64" s="20">
        <v>4610.12</v>
      </c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0" t="s">
        <v>80</v>
      </c>
      <c r="B65" s="12">
        <v>488.25</v>
      </c>
      <c r="C65" s="12">
        <v>589.97</v>
      </c>
      <c r="D65" s="12">
        <v>526.95000000000005</v>
      </c>
      <c r="E65" s="12">
        <v>518.9</v>
      </c>
      <c r="F65" s="12">
        <v>607.53</v>
      </c>
      <c r="G65" s="12">
        <v>537.05999999999995</v>
      </c>
      <c r="H65" s="12">
        <v>582.24</v>
      </c>
      <c r="I65" s="12">
        <v>694.06</v>
      </c>
      <c r="J65" s="12">
        <v>628.24</v>
      </c>
      <c r="K65" s="12">
        <v>706.45</v>
      </c>
      <c r="L65" s="12">
        <v>588.35</v>
      </c>
      <c r="M65" s="12">
        <v>589.83000000000004</v>
      </c>
      <c r="N65" s="12">
        <v>7057.83</v>
      </c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0" t="s">
        <v>81</v>
      </c>
      <c r="B66" s="8"/>
      <c r="C66" s="8"/>
      <c r="D66" s="8"/>
      <c r="E66" s="8"/>
      <c r="F66" s="13"/>
      <c r="G66" s="8">
        <v>74</v>
      </c>
      <c r="H66" s="13"/>
      <c r="I66" s="8"/>
      <c r="J66" s="13"/>
      <c r="K66" s="13"/>
      <c r="L66" s="13"/>
      <c r="M66" s="13">
        <v>100</v>
      </c>
      <c r="N66" s="13">
        <v>174</v>
      </c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0" t="s">
        <v>82</v>
      </c>
      <c r="B67" s="13">
        <v>17.32</v>
      </c>
      <c r="C67" s="13">
        <v>29.63</v>
      </c>
      <c r="D67" s="13">
        <v>9.66</v>
      </c>
      <c r="E67" s="13">
        <v>151.71</v>
      </c>
      <c r="F67" s="13">
        <v>76.55</v>
      </c>
      <c r="G67" s="13">
        <v>42.97</v>
      </c>
      <c r="H67" s="13">
        <v>86.55</v>
      </c>
      <c r="I67" s="13">
        <v>29.15</v>
      </c>
      <c r="J67" s="13">
        <v>2</v>
      </c>
      <c r="K67" s="13">
        <v>44.21</v>
      </c>
      <c r="L67" s="13">
        <v>56.25</v>
      </c>
      <c r="M67" s="13">
        <v>128.94</v>
      </c>
      <c r="N67" s="13">
        <v>674.94</v>
      </c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0" t="s">
        <v>83</v>
      </c>
      <c r="B68" s="13">
        <v>110</v>
      </c>
      <c r="C68" s="8"/>
      <c r="D68" s="13">
        <v>168.98</v>
      </c>
      <c r="E68" s="13">
        <v>261.29000000000002</v>
      </c>
      <c r="F68" s="8"/>
      <c r="G68" s="8"/>
      <c r="H68" s="8"/>
      <c r="I68" s="8"/>
      <c r="J68" s="13">
        <v>187.75</v>
      </c>
      <c r="K68" s="8"/>
      <c r="L68" s="13">
        <v>36</v>
      </c>
      <c r="M68" s="8"/>
      <c r="N68" s="13">
        <v>764.02</v>
      </c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0" t="s">
        <v>84</v>
      </c>
      <c r="B69" s="8"/>
      <c r="C69" s="8"/>
      <c r="D69" s="8"/>
      <c r="E69" s="8"/>
      <c r="F69" s="8"/>
      <c r="G69" s="8"/>
      <c r="H69" s="8">
        <v>26.13</v>
      </c>
      <c r="I69" s="8"/>
      <c r="J69" s="8"/>
      <c r="K69" s="8"/>
      <c r="L69" s="13"/>
      <c r="M69" s="8"/>
      <c r="N69" s="13">
        <v>26.13</v>
      </c>
      <c r="O69" s="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0" t="s">
        <v>85</v>
      </c>
      <c r="B70" s="8">
        <v>175</v>
      </c>
      <c r="C70" s="8">
        <v>175</v>
      </c>
      <c r="D70" s="8">
        <v>393.84</v>
      </c>
      <c r="E70" s="8">
        <v>175</v>
      </c>
      <c r="F70" s="8">
        <v>175</v>
      </c>
      <c r="G70" s="8">
        <v>175</v>
      </c>
      <c r="H70" s="8">
        <v>175</v>
      </c>
      <c r="I70" s="8">
        <v>175</v>
      </c>
      <c r="J70" s="8">
        <v>175</v>
      </c>
      <c r="K70" s="8">
        <v>175</v>
      </c>
      <c r="L70" s="8">
        <v>175</v>
      </c>
      <c r="M70" s="8">
        <v>175</v>
      </c>
      <c r="N70" s="20">
        <v>2318.84</v>
      </c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0" t="s">
        <v>86</v>
      </c>
      <c r="B71" s="13">
        <v>91.66</v>
      </c>
      <c r="C71" s="13">
        <v>91.66</v>
      </c>
      <c r="D71" s="13">
        <v>91.66</v>
      </c>
      <c r="E71" s="13">
        <v>91.66</v>
      </c>
      <c r="F71" s="13">
        <v>91.66</v>
      </c>
      <c r="G71" s="13">
        <v>91.66</v>
      </c>
      <c r="H71" s="13">
        <v>91.66</v>
      </c>
      <c r="I71" s="13">
        <v>123.25</v>
      </c>
      <c r="J71" s="13">
        <v>91.66</v>
      </c>
      <c r="K71" s="13">
        <v>91.66</v>
      </c>
      <c r="L71" s="13">
        <v>91.66</v>
      </c>
      <c r="M71" s="13">
        <v>91.66</v>
      </c>
      <c r="N71" s="20">
        <v>1131.51</v>
      </c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0" t="s">
        <v>87</v>
      </c>
      <c r="B72" s="8">
        <v>1.07</v>
      </c>
      <c r="C72" s="8">
        <v>2.0499999999999998</v>
      </c>
      <c r="D72" s="13">
        <v>20.07</v>
      </c>
      <c r="E72" s="8">
        <v>7.06</v>
      </c>
      <c r="F72" s="8">
        <v>22.14</v>
      </c>
      <c r="G72" s="8">
        <v>30.04</v>
      </c>
      <c r="H72" s="8">
        <v>5.56</v>
      </c>
      <c r="I72" s="8">
        <v>4.87</v>
      </c>
      <c r="J72" s="8">
        <v>51.55</v>
      </c>
      <c r="K72" s="8">
        <v>58.65</v>
      </c>
      <c r="L72" s="8">
        <v>40.549999999999997</v>
      </c>
      <c r="M72" s="21">
        <v>1958.45</v>
      </c>
      <c r="N72" s="20">
        <v>2202.06</v>
      </c>
      <c r="O72" s="1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0" t="s">
        <v>88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>
        <v>0</v>
      </c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0" t="s">
        <v>89</v>
      </c>
      <c r="B74" s="13"/>
      <c r="C74" s="13"/>
      <c r="D74" s="13"/>
      <c r="E74" s="13"/>
      <c r="F74" s="20">
        <v>1700</v>
      </c>
      <c r="G74" s="13"/>
      <c r="H74" s="13"/>
      <c r="I74" s="13">
        <v>131.05000000000001</v>
      </c>
      <c r="J74" s="13"/>
      <c r="K74" s="13"/>
      <c r="L74" s="13"/>
      <c r="M74" s="13"/>
      <c r="N74" s="20">
        <v>1831.05</v>
      </c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0" t="s">
        <v>90</v>
      </c>
      <c r="B75" s="13">
        <v>257.54000000000002</v>
      </c>
      <c r="C75" s="13">
        <v>659.94</v>
      </c>
      <c r="D75" s="13">
        <v>808.54</v>
      </c>
      <c r="E75" s="13">
        <v>363.98</v>
      </c>
      <c r="F75" s="13">
        <v>409.63</v>
      </c>
      <c r="G75" s="13">
        <v>245.29</v>
      </c>
      <c r="H75" s="13">
        <v>381.06</v>
      </c>
      <c r="I75" s="13">
        <v>289.06</v>
      </c>
      <c r="J75" s="13">
        <v>276.48</v>
      </c>
      <c r="K75" s="13">
        <v>276.06</v>
      </c>
      <c r="L75" s="13">
        <v>275.38</v>
      </c>
      <c r="M75" s="13">
        <v>200.19</v>
      </c>
      <c r="N75" s="20">
        <v>4443.1499999999996</v>
      </c>
      <c r="O75" s="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0" t="s">
        <v>91</v>
      </c>
      <c r="B76" s="13"/>
      <c r="C76" s="13"/>
      <c r="D76" s="13"/>
      <c r="E76" s="13"/>
      <c r="F76" s="13">
        <v>150.22</v>
      </c>
      <c r="G76" s="13"/>
      <c r="H76" s="13"/>
      <c r="I76" s="13"/>
      <c r="J76" s="13"/>
      <c r="K76" s="13"/>
      <c r="L76" s="13"/>
      <c r="M76" s="13"/>
      <c r="N76" s="13">
        <v>150.22</v>
      </c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0" t="s">
        <v>92</v>
      </c>
      <c r="B77" s="12">
        <v>257.54000000000002</v>
      </c>
      <c r="C77" s="12">
        <v>659.94</v>
      </c>
      <c r="D77" s="12">
        <v>808.54</v>
      </c>
      <c r="E77" s="12">
        <v>363.98</v>
      </c>
      <c r="F77" s="12">
        <v>2259.85</v>
      </c>
      <c r="G77" s="12">
        <v>245.29</v>
      </c>
      <c r="H77" s="12">
        <v>381.06</v>
      </c>
      <c r="I77" s="12">
        <v>420.11</v>
      </c>
      <c r="J77" s="12">
        <v>276.48</v>
      </c>
      <c r="K77" s="12">
        <v>276.06</v>
      </c>
      <c r="L77" s="12">
        <v>275.38</v>
      </c>
      <c r="M77" s="12">
        <v>200.19</v>
      </c>
      <c r="N77" s="12">
        <v>6424.42</v>
      </c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0" t="s">
        <v>93</v>
      </c>
      <c r="B78" s="8">
        <v>100</v>
      </c>
      <c r="C78" s="8">
        <v>100</v>
      </c>
      <c r="D78" s="8">
        <v>310.24</v>
      </c>
      <c r="E78" s="8">
        <v>100</v>
      </c>
      <c r="F78" s="8">
        <v>100</v>
      </c>
      <c r="G78" s="8">
        <v>100</v>
      </c>
      <c r="H78" s="8">
        <v>100</v>
      </c>
      <c r="I78" s="8">
        <v>100</v>
      </c>
      <c r="J78" s="8">
        <v>100</v>
      </c>
      <c r="K78" s="8">
        <v>100</v>
      </c>
      <c r="L78" s="8">
        <v>100</v>
      </c>
      <c r="M78" s="8">
        <v>202.09</v>
      </c>
      <c r="N78" s="20">
        <v>1512.33</v>
      </c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0" t="s">
        <v>94</v>
      </c>
      <c r="B79" s="13"/>
      <c r="C79" s="13"/>
      <c r="D79" s="13"/>
      <c r="E79" s="13"/>
      <c r="F79" s="13">
        <v>179.66</v>
      </c>
      <c r="G79" s="13"/>
      <c r="H79" s="13"/>
      <c r="I79" s="13"/>
      <c r="J79" s="13"/>
      <c r="K79" s="13"/>
      <c r="L79" s="13"/>
      <c r="M79" s="13"/>
      <c r="N79" s="13">
        <v>179.66</v>
      </c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0" t="s">
        <v>95</v>
      </c>
      <c r="B80" s="13">
        <v>75.3</v>
      </c>
      <c r="C80" s="13">
        <v>22.85</v>
      </c>
      <c r="D80" s="13">
        <v>106.12</v>
      </c>
      <c r="E80" s="13">
        <v>107.83</v>
      </c>
      <c r="F80" s="13">
        <v>175.05</v>
      </c>
      <c r="G80" s="13">
        <v>90.05</v>
      </c>
      <c r="H80" s="13">
        <v>101.23</v>
      </c>
      <c r="I80" s="13">
        <v>136.94</v>
      </c>
      <c r="J80" s="13">
        <v>121.28</v>
      </c>
      <c r="K80" s="13">
        <v>181.91</v>
      </c>
      <c r="L80" s="13">
        <v>192.41</v>
      </c>
      <c r="M80" s="13">
        <v>148.4</v>
      </c>
      <c r="N80" s="20">
        <v>1459.33</v>
      </c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0" t="s">
        <v>96</v>
      </c>
      <c r="B81" s="13">
        <v>428.76</v>
      </c>
      <c r="C81" s="13">
        <v>457.94</v>
      </c>
      <c r="D81" s="13">
        <v>505.56</v>
      </c>
      <c r="E81" s="13">
        <v>539.97</v>
      </c>
      <c r="F81" s="13">
        <v>497.88</v>
      </c>
      <c r="G81" s="13">
        <v>455.6</v>
      </c>
      <c r="H81" s="13">
        <v>447.19</v>
      </c>
      <c r="I81" s="13">
        <v>543.97</v>
      </c>
      <c r="J81" s="13">
        <v>559.33000000000004</v>
      </c>
      <c r="K81" s="13">
        <v>592.37</v>
      </c>
      <c r="L81" s="13">
        <v>574.14</v>
      </c>
      <c r="M81" s="13">
        <v>459.48</v>
      </c>
      <c r="N81" s="20">
        <v>6062.19</v>
      </c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0" t="s">
        <v>97</v>
      </c>
      <c r="B82" s="12">
        <v>504.06</v>
      </c>
      <c r="C82" s="12">
        <v>480.79</v>
      </c>
      <c r="D82" s="12">
        <v>611.67999999999995</v>
      </c>
      <c r="E82" s="12">
        <v>647.79999999999995</v>
      </c>
      <c r="F82" s="12">
        <v>852.59</v>
      </c>
      <c r="G82" s="12">
        <v>545.65</v>
      </c>
      <c r="H82" s="12">
        <v>548.41999999999996</v>
      </c>
      <c r="I82" s="12">
        <v>680.91</v>
      </c>
      <c r="J82" s="12">
        <v>680.61</v>
      </c>
      <c r="K82" s="12">
        <v>774.28</v>
      </c>
      <c r="L82" s="12">
        <v>766.55</v>
      </c>
      <c r="M82" s="12">
        <v>607.88</v>
      </c>
      <c r="N82" s="12">
        <v>7701.18</v>
      </c>
      <c r="O82" s="1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0" t="s">
        <v>98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13">
        <v>0</v>
      </c>
      <c r="O83" s="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0" t="s">
        <v>99</v>
      </c>
      <c r="B84" s="21">
        <v>1618.95</v>
      </c>
      <c r="C84" s="21">
        <v>1618.95</v>
      </c>
      <c r="D84" s="21">
        <v>1618.95</v>
      </c>
      <c r="E84" s="21">
        <v>1618.95</v>
      </c>
      <c r="F84" s="21">
        <v>1618.95</v>
      </c>
      <c r="G84" s="21">
        <v>1618.95</v>
      </c>
      <c r="H84" s="21">
        <v>1618.95</v>
      </c>
      <c r="I84" s="21">
        <v>2218.98</v>
      </c>
      <c r="J84" s="21">
        <v>1618.95</v>
      </c>
      <c r="K84" s="21">
        <v>1618.95</v>
      </c>
      <c r="L84" s="21">
        <v>1618.95</v>
      </c>
      <c r="M84" s="21">
        <v>2218.98</v>
      </c>
      <c r="N84" s="20">
        <v>20627.46</v>
      </c>
      <c r="O84" s="1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0" t="s">
        <v>100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13"/>
      <c r="O85" s="1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0" t="s">
        <v>101</v>
      </c>
      <c r="B86" s="21">
        <v>1400</v>
      </c>
      <c r="C86" s="21">
        <v>1400</v>
      </c>
      <c r="D86" s="21">
        <v>1400</v>
      </c>
      <c r="E86" s="21">
        <v>1900</v>
      </c>
      <c r="F86" s="21">
        <v>1400</v>
      </c>
      <c r="G86" s="21">
        <v>1400</v>
      </c>
      <c r="H86" s="21">
        <v>1400</v>
      </c>
      <c r="I86" s="21">
        <v>1400</v>
      </c>
      <c r="J86" s="21">
        <v>1581.37</v>
      </c>
      <c r="K86" s="21">
        <v>1400</v>
      </c>
      <c r="L86" s="21">
        <v>1400</v>
      </c>
      <c r="M86" s="21">
        <v>1400</v>
      </c>
      <c r="N86" s="20">
        <v>17481.37</v>
      </c>
      <c r="O86" s="1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0" t="s">
        <v>102</v>
      </c>
      <c r="B87" s="8"/>
      <c r="C87" s="8"/>
      <c r="D87" s="8"/>
      <c r="E87" s="8"/>
      <c r="F87" s="8">
        <v>50</v>
      </c>
      <c r="G87" s="8"/>
      <c r="H87" s="8"/>
      <c r="I87" s="8">
        <v>50</v>
      </c>
      <c r="J87" s="8">
        <v>16</v>
      </c>
      <c r="K87" s="8"/>
      <c r="L87" s="8"/>
      <c r="M87" s="8"/>
      <c r="N87" s="13">
        <v>116</v>
      </c>
      <c r="O87" s="1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0" t="s">
        <v>103</v>
      </c>
      <c r="B88" s="8">
        <v>178.33</v>
      </c>
      <c r="C88" s="8">
        <v>178.33</v>
      </c>
      <c r="D88" s="8">
        <v>178.33</v>
      </c>
      <c r="E88" s="8">
        <v>178.33</v>
      </c>
      <c r="F88" s="8">
        <v>178.33</v>
      </c>
      <c r="G88" s="8">
        <v>178.33</v>
      </c>
      <c r="H88" s="8">
        <v>178.33</v>
      </c>
      <c r="I88" s="8">
        <v>178.33</v>
      </c>
      <c r="J88" s="8">
        <v>178.33</v>
      </c>
      <c r="K88" s="8">
        <v>178.33</v>
      </c>
      <c r="L88" s="8">
        <v>178.33</v>
      </c>
      <c r="M88" s="8">
        <v>178.33</v>
      </c>
      <c r="N88" s="20">
        <v>2139.96</v>
      </c>
      <c r="O88" s="1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0" t="s">
        <v>104</v>
      </c>
      <c r="B89" s="12">
        <v>3197.28</v>
      </c>
      <c r="C89" s="12">
        <v>3197.28</v>
      </c>
      <c r="D89" s="12">
        <v>3197.28</v>
      </c>
      <c r="E89" s="12">
        <v>3697.28</v>
      </c>
      <c r="F89" s="12">
        <v>3247.28</v>
      </c>
      <c r="G89" s="12">
        <v>3197.28</v>
      </c>
      <c r="H89" s="12">
        <v>3197.28</v>
      </c>
      <c r="I89" s="12">
        <v>3847.31</v>
      </c>
      <c r="J89" s="12">
        <v>3394.65</v>
      </c>
      <c r="K89" s="12">
        <v>3197.28</v>
      </c>
      <c r="L89" s="12">
        <v>3197.28</v>
      </c>
      <c r="M89" s="12">
        <v>3797.31</v>
      </c>
      <c r="N89" s="12">
        <v>40364.79</v>
      </c>
      <c r="O89" s="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0" t="s">
        <v>105</v>
      </c>
      <c r="B90" s="8"/>
      <c r="C90" s="8"/>
      <c r="D90" s="8"/>
      <c r="E90" s="8"/>
      <c r="F90" s="13"/>
      <c r="G90" s="8">
        <v>120</v>
      </c>
      <c r="H90" s="13"/>
      <c r="I90" s="13"/>
      <c r="J90" s="13">
        <v>54</v>
      </c>
      <c r="K90" s="13"/>
      <c r="L90" s="8"/>
      <c r="M90" s="13"/>
      <c r="N90" s="13">
        <v>174</v>
      </c>
      <c r="O90" s="1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0" t="s">
        <v>106</v>
      </c>
      <c r="B91" s="8"/>
      <c r="C91" s="8"/>
      <c r="D91" s="20">
        <v>1374.46</v>
      </c>
      <c r="E91" s="8"/>
      <c r="F91" s="8"/>
      <c r="G91" s="8"/>
      <c r="H91" s="8"/>
      <c r="I91" s="13">
        <v>226.99</v>
      </c>
      <c r="J91" s="8"/>
      <c r="K91" s="13"/>
      <c r="L91" s="13"/>
      <c r="M91" s="13"/>
      <c r="N91" s="20">
        <v>1601.45</v>
      </c>
      <c r="O91" s="1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0" t="s">
        <v>107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>
        <v>0</v>
      </c>
      <c r="O92" s="1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0" t="s">
        <v>108</v>
      </c>
      <c r="B93" s="8">
        <v>935</v>
      </c>
      <c r="C93" s="8">
        <v>935</v>
      </c>
      <c r="D93" s="8">
        <v>935</v>
      </c>
      <c r="E93" s="8">
        <v>935</v>
      </c>
      <c r="F93" s="8">
        <v>935</v>
      </c>
      <c r="G93" s="8">
        <v>935</v>
      </c>
      <c r="H93" s="8">
        <v>935</v>
      </c>
      <c r="I93" s="8">
        <v>935</v>
      </c>
      <c r="J93" s="8">
        <v>946.9</v>
      </c>
      <c r="K93" s="8">
        <v>935</v>
      </c>
      <c r="L93" s="8">
        <v>935</v>
      </c>
      <c r="M93" s="8">
        <v>935</v>
      </c>
      <c r="N93" s="20">
        <v>11231.9</v>
      </c>
      <c r="O93" s="1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0" t="s">
        <v>109</v>
      </c>
      <c r="B94" s="13">
        <v>134.32</v>
      </c>
      <c r="C94" s="8">
        <v>47.81</v>
      </c>
      <c r="D94" s="13">
        <v>116.59</v>
      </c>
      <c r="E94" s="13">
        <v>66.67</v>
      </c>
      <c r="F94" s="8">
        <v>60.27</v>
      </c>
      <c r="G94" s="8">
        <v>71.03</v>
      </c>
      <c r="H94" s="8">
        <v>68.11</v>
      </c>
      <c r="I94" s="8">
        <v>95.96</v>
      </c>
      <c r="J94" s="13">
        <v>364.51</v>
      </c>
      <c r="K94" s="8">
        <v>10.66</v>
      </c>
      <c r="L94" s="8">
        <v>75.95</v>
      </c>
      <c r="M94" s="8">
        <v>74.930000000000007</v>
      </c>
      <c r="N94" s="20">
        <v>1186.81</v>
      </c>
      <c r="O94" s="1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0" t="s">
        <v>110</v>
      </c>
      <c r="B95" s="13"/>
      <c r="C95" s="13"/>
      <c r="D95" s="13"/>
      <c r="E95" s="13"/>
      <c r="F95" s="13">
        <v>66.22</v>
      </c>
      <c r="G95" s="13"/>
      <c r="H95" s="13"/>
      <c r="I95" s="13"/>
      <c r="J95" s="13"/>
      <c r="K95" s="13"/>
      <c r="L95" s="13"/>
      <c r="M95" s="13"/>
      <c r="N95" s="13">
        <v>66.22</v>
      </c>
      <c r="O95" s="1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0" t="s">
        <v>111</v>
      </c>
      <c r="B96" s="13"/>
      <c r="C96" s="8"/>
      <c r="D96" s="13"/>
      <c r="E96" s="13">
        <v>48.45</v>
      </c>
      <c r="F96" s="8"/>
      <c r="G96" s="8"/>
      <c r="H96" s="8">
        <v>110.55</v>
      </c>
      <c r="I96" s="8"/>
      <c r="J96" s="13"/>
      <c r="K96" s="8">
        <v>109.88</v>
      </c>
      <c r="L96" s="8"/>
      <c r="M96" s="8"/>
      <c r="N96" s="13">
        <v>268.88</v>
      </c>
      <c r="O96" s="1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0" t="s">
        <v>112</v>
      </c>
      <c r="B97" s="12">
        <v>134.32</v>
      </c>
      <c r="C97" s="12">
        <v>47.81</v>
      </c>
      <c r="D97" s="12">
        <v>116.59</v>
      </c>
      <c r="E97" s="12">
        <v>115.12</v>
      </c>
      <c r="F97" s="12">
        <v>126.49</v>
      </c>
      <c r="G97" s="12">
        <v>71.03</v>
      </c>
      <c r="H97" s="12">
        <v>178.66</v>
      </c>
      <c r="I97" s="12">
        <v>95.96</v>
      </c>
      <c r="J97" s="12">
        <v>364.51</v>
      </c>
      <c r="K97" s="12">
        <v>120.54</v>
      </c>
      <c r="L97" s="12">
        <v>75.95</v>
      </c>
      <c r="M97" s="12">
        <v>74.930000000000007</v>
      </c>
      <c r="N97" s="12">
        <v>1521.91</v>
      </c>
      <c r="O97" s="1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0" t="s">
        <v>113</v>
      </c>
      <c r="B98" s="13"/>
      <c r="C98" s="13"/>
      <c r="D98" s="13"/>
      <c r="E98" s="13">
        <v>30</v>
      </c>
      <c r="F98" s="13"/>
      <c r="G98" s="13"/>
      <c r="H98" s="13"/>
      <c r="I98" s="13"/>
      <c r="J98" s="13"/>
      <c r="K98" s="13"/>
      <c r="L98" s="13">
        <v>31.97</v>
      </c>
      <c r="M98" s="13"/>
      <c r="N98" s="13">
        <v>61.97</v>
      </c>
      <c r="O98" s="1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0" t="s">
        <v>114</v>
      </c>
      <c r="B99" s="8"/>
      <c r="C99" s="13">
        <v>323.98</v>
      </c>
      <c r="D99" s="8"/>
      <c r="E99" s="8"/>
      <c r="F99" s="13"/>
      <c r="G99" s="13"/>
      <c r="H99" s="13">
        <v>369.19</v>
      </c>
      <c r="I99" s="13"/>
      <c r="J99" s="13"/>
      <c r="K99" s="14"/>
      <c r="L99" s="13"/>
      <c r="M99" s="13">
        <v>975.53</v>
      </c>
      <c r="N99" s="20">
        <v>1668.7</v>
      </c>
      <c r="O99" s="1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0" t="s">
        <v>115</v>
      </c>
      <c r="B100" s="8"/>
      <c r="C100" s="13"/>
      <c r="D100" s="8"/>
      <c r="E100" s="8"/>
      <c r="F100" s="13"/>
      <c r="G100" s="13"/>
      <c r="H100" s="13"/>
      <c r="I100" s="13"/>
      <c r="J100" s="13"/>
      <c r="K100" s="14"/>
      <c r="L100" s="13"/>
      <c r="M100" s="13">
        <v>581.70000000000005</v>
      </c>
      <c r="N100" s="13">
        <v>581.70000000000005</v>
      </c>
      <c r="O100" s="1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0" t="s">
        <v>116</v>
      </c>
      <c r="B101" s="12">
        <v>0</v>
      </c>
      <c r="C101" s="12">
        <v>323.98</v>
      </c>
      <c r="D101" s="12">
        <v>0</v>
      </c>
      <c r="E101" s="12">
        <v>0</v>
      </c>
      <c r="F101" s="12">
        <v>0</v>
      </c>
      <c r="G101" s="12">
        <v>0</v>
      </c>
      <c r="H101" s="12">
        <v>369.19</v>
      </c>
      <c r="I101" s="12">
        <v>0</v>
      </c>
      <c r="J101" s="12">
        <v>0</v>
      </c>
      <c r="K101" s="12">
        <v>0</v>
      </c>
      <c r="L101" s="12">
        <v>0</v>
      </c>
      <c r="M101" s="12">
        <v>1557.23</v>
      </c>
      <c r="N101" s="12">
        <v>2250.4</v>
      </c>
      <c r="O101" s="1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0" t="s">
        <v>117</v>
      </c>
      <c r="B102" s="13">
        <v>12.57</v>
      </c>
      <c r="C102" s="13">
        <v>15.01</v>
      </c>
      <c r="D102" s="13">
        <v>19.2</v>
      </c>
      <c r="E102" s="13">
        <v>22.22</v>
      </c>
      <c r="F102" s="13"/>
      <c r="G102" s="13">
        <v>17.87</v>
      </c>
      <c r="H102" s="13">
        <v>27.7</v>
      </c>
      <c r="I102" s="13">
        <v>31.98</v>
      </c>
      <c r="J102" s="13">
        <v>25.58</v>
      </c>
      <c r="K102" s="13">
        <v>36.880000000000003</v>
      </c>
      <c r="L102" s="13">
        <v>25.39</v>
      </c>
      <c r="M102" s="13">
        <v>24.97</v>
      </c>
      <c r="N102" s="13">
        <v>259.37</v>
      </c>
      <c r="O102" s="1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0" t="s">
        <v>118</v>
      </c>
      <c r="B103" s="8"/>
      <c r="C103" s="8"/>
      <c r="D103" s="8"/>
      <c r="E103" s="8"/>
      <c r="F103" s="13"/>
      <c r="G103" s="13"/>
      <c r="H103" s="13"/>
      <c r="I103" s="13"/>
      <c r="J103" s="8"/>
      <c r="K103" s="13"/>
      <c r="L103" s="8"/>
      <c r="M103" s="13"/>
      <c r="N103" s="13">
        <v>0</v>
      </c>
      <c r="O103" s="1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0" t="s">
        <v>119</v>
      </c>
      <c r="B104" s="8"/>
      <c r="C104" s="13"/>
      <c r="D104" s="13"/>
      <c r="E104" s="13">
        <v>690.05</v>
      </c>
      <c r="F104" s="8"/>
      <c r="G104" s="13"/>
      <c r="H104" s="13"/>
      <c r="I104" s="13">
        <v>36.869999999999997</v>
      </c>
      <c r="J104" s="13"/>
      <c r="K104" s="13"/>
      <c r="L104" s="13"/>
      <c r="M104" s="13"/>
      <c r="N104" s="13">
        <v>726.92</v>
      </c>
      <c r="O104" s="1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0" t="s">
        <v>120</v>
      </c>
      <c r="B105" s="8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>
        <v>0</v>
      </c>
      <c r="O105" s="1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0" t="s">
        <v>121</v>
      </c>
      <c r="B106" s="8">
        <v>89.6</v>
      </c>
      <c r="C106" s="8">
        <v>89.6</v>
      </c>
      <c r="D106" s="8">
        <v>89.6</v>
      </c>
      <c r="E106" s="8">
        <v>89.6</v>
      </c>
      <c r="F106" s="8">
        <v>89.6</v>
      </c>
      <c r="G106" s="8">
        <v>89.6</v>
      </c>
      <c r="H106" s="8">
        <v>89.6</v>
      </c>
      <c r="I106" s="8">
        <v>89.6</v>
      </c>
      <c r="J106" s="8">
        <v>89.6</v>
      </c>
      <c r="K106" s="8">
        <v>109.52</v>
      </c>
      <c r="L106" s="8">
        <v>89.6</v>
      </c>
      <c r="M106" s="8">
        <v>89.6</v>
      </c>
      <c r="N106" s="20">
        <v>1095.1199999999999</v>
      </c>
      <c r="O106" s="1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0" t="s">
        <v>122</v>
      </c>
      <c r="B107" s="8">
        <v>133.56</v>
      </c>
      <c r="C107" s="13">
        <v>136.46</v>
      </c>
      <c r="D107" s="13">
        <v>138.44</v>
      </c>
      <c r="E107" s="13">
        <v>115.13</v>
      </c>
      <c r="F107" s="13">
        <v>147.55000000000001</v>
      </c>
      <c r="G107" s="13">
        <v>163.69999999999999</v>
      </c>
      <c r="H107" s="13">
        <v>146.24</v>
      </c>
      <c r="I107" s="13">
        <v>193.22</v>
      </c>
      <c r="J107" s="13">
        <v>159.01</v>
      </c>
      <c r="K107" s="13">
        <v>175.97</v>
      </c>
      <c r="L107" s="13">
        <v>182.3</v>
      </c>
      <c r="M107" s="13">
        <v>151.06</v>
      </c>
      <c r="N107" s="20">
        <v>1842.64</v>
      </c>
      <c r="O107" s="1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0" t="s">
        <v>123</v>
      </c>
      <c r="B108" s="8">
        <v>153.52000000000001</v>
      </c>
      <c r="C108" s="8">
        <v>159.55000000000001</v>
      </c>
      <c r="D108" s="8">
        <v>153.52000000000001</v>
      </c>
      <c r="E108" s="8">
        <v>193.12</v>
      </c>
      <c r="F108" s="8">
        <v>163.12</v>
      </c>
      <c r="G108" s="8">
        <v>153.52000000000001</v>
      </c>
      <c r="H108" s="8">
        <v>168.14</v>
      </c>
      <c r="I108" s="8">
        <v>153.52000000000001</v>
      </c>
      <c r="J108" s="8">
        <v>153.52000000000001</v>
      </c>
      <c r="K108" s="8">
        <v>203.7</v>
      </c>
      <c r="L108" s="8">
        <v>153.52000000000001</v>
      </c>
      <c r="M108" s="8">
        <v>153.51</v>
      </c>
      <c r="N108" s="20">
        <v>1962.26</v>
      </c>
      <c r="O108" s="1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0" t="s">
        <v>124</v>
      </c>
      <c r="B109" s="8">
        <v>44.8</v>
      </c>
      <c r="C109" s="8">
        <v>44.8</v>
      </c>
      <c r="D109" s="8">
        <v>94.25</v>
      </c>
      <c r="E109" s="8">
        <v>48.17</v>
      </c>
      <c r="F109" s="8">
        <v>44.8</v>
      </c>
      <c r="G109" s="8">
        <v>44.8</v>
      </c>
      <c r="H109" s="8">
        <v>44.8</v>
      </c>
      <c r="I109" s="8">
        <v>44.8</v>
      </c>
      <c r="J109" s="8">
        <v>44.8</v>
      </c>
      <c r="K109" s="8">
        <v>44.8</v>
      </c>
      <c r="L109" s="8">
        <v>44.8</v>
      </c>
      <c r="M109" s="8">
        <v>44.79</v>
      </c>
      <c r="N109" s="13">
        <v>590.41</v>
      </c>
      <c r="O109" s="1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0" t="s">
        <v>125</v>
      </c>
      <c r="B110" s="12">
        <v>421.48</v>
      </c>
      <c r="C110" s="12">
        <v>430.41</v>
      </c>
      <c r="D110" s="12">
        <v>475.81</v>
      </c>
      <c r="E110" s="12">
        <v>446.02</v>
      </c>
      <c r="F110" s="12">
        <v>445.07</v>
      </c>
      <c r="G110" s="12">
        <v>451.62</v>
      </c>
      <c r="H110" s="12">
        <v>448.78</v>
      </c>
      <c r="I110" s="12">
        <v>481.14</v>
      </c>
      <c r="J110" s="12">
        <v>446.93</v>
      </c>
      <c r="K110" s="12">
        <v>533.99</v>
      </c>
      <c r="L110" s="12">
        <v>470.22</v>
      </c>
      <c r="M110" s="12">
        <v>438.96</v>
      </c>
      <c r="N110" s="12">
        <v>5490.43</v>
      </c>
      <c r="O110" s="1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34" t="s">
        <v>126</v>
      </c>
      <c r="B111" s="12">
        <v>7945.55</v>
      </c>
      <c r="C111" s="12">
        <v>10259.73</v>
      </c>
      <c r="D111" s="12">
        <v>10811.51</v>
      </c>
      <c r="E111" s="12">
        <v>9911.74</v>
      </c>
      <c r="F111" s="12">
        <v>10729.71</v>
      </c>
      <c r="G111" s="12">
        <v>8421.2199999999993</v>
      </c>
      <c r="H111" s="12">
        <v>8696.2000000000007</v>
      </c>
      <c r="I111" s="12">
        <v>10320.99</v>
      </c>
      <c r="J111" s="12">
        <v>9031.51</v>
      </c>
      <c r="K111" s="12">
        <v>8619.5499999999993</v>
      </c>
      <c r="L111" s="12">
        <v>8369.4500000000007</v>
      </c>
      <c r="M111" s="12">
        <v>12658.85</v>
      </c>
      <c r="N111" s="12">
        <v>115775.98</v>
      </c>
      <c r="O111" s="1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0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0" t="s">
        <v>127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0" t="s">
        <v>128</v>
      </c>
      <c r="B114" s="13">
        <v>4.12</v>
      </c>
      <c r="C114" s="8">
        <v>4.2</v>
      </c>
      <c r="D114" s="13">
        <v>4.8899999999999997</v>
      </c>
      <c r="E114" s="13">
        <v>4.18</v>
      </c>
      <c r="F114" s="8">
        <v>1.87</v>
      </c>
      <c r="G114" s="8">
        <v>1.56</v>
      </c>
      <c r="H114" s="8">
        <v>1.41</v>
      </c>
      <c r="I114" s="8">
        <v>4.58</v>
      </c>
      <c r="J114" s="13">
        <v>3.44</v>
      </c>
      <c r="K114" s="8">
        <v>5.41</v>
      </c>
      <c r="L114" s="8">
        <v>8.57</v>
      </c>
      <c r="M114" s="8">
        <v>5.66</v>
      </c>
      <c r="N114" s="13">
        <v>49.89</v>
      </c>
      <c r="O114" s="1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0" t="s">
        <v>129</v>
      </c>
      <c r="B115" s="12">
        <v>4.12</v>
      </c>
      <c r="C115" s="12">
        <v>4.2</v>
      </c>
      <c r="D115" s="12">
        <v>4.8899999999999997</v>
      </c>
      <c r="E115" s="12">
        <v>4.18</v>
      </c>
      <c r="F115" s="12">
        <v>1.87</v>
      </c>
      <c r="G115" s="12">
        <v>1.56</v>
      </c>
      <c r="H115" s="12">
        <v>1.41</v>
      </c>
      <c r="I115" s="12">
        <v>4.58</v>
      </c>
      <c r="J115" s="12">
        <v>3.44</v>
      </c>
      <c r="K115" s="12">
        <v>5.41</v>
      </c>
      <c r="L115" s="12">
        <v>8.57</v>
      </c>
      <c r="M115" s="12">
        <v>5.66</v>
      </c>
      <c r="N115" s="12">
        <v>49.89</v>
      </c>
      <c r="O115" s="1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0" t="s">
        <v>130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0" t="s">
        <v>131</v>
      </c>
      <c r="B117" s="8"/>
      <c r="C117" s="8"/>
      <c r="D117" s="8"/>
      <c r="E117" s="13"/>
      <c r="F117" s="13"/>
      <c r="G117" s="8">
        <v>150</v>
      </c>
      <c r="H117" s="8"/>
      <c r="I117" s="8">
        <v>53.89</v>
      </c>
      <c r="J117" s="8">
        <v>48.14</v>
      </c>
      <c r="K117" s="8"/>
      <c r="L117" s="13"/>
      <c r="M117" s="8"/>
      <c r="N117" s="13">
        <v>252.03</v>
      </c>
      <c r="O117" s="1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0" t="s">
        <v>132</v>
      </c>
      <c r="B118" s="8"/>
      <c r="C118" s="8"/>
      <c r="D118" s="8"/>
      <c r="E118" s="8">
        <v>-0.02</v>
      </c>
      <c r="F118" s="8"/>
      <c r="G118" s="8"/>
      <c r="H118" s="8"/>
      <c r="I118" s="13"/>
      <c r="J118" s="8"/>
      <c r="K118" s="8"/>
      <c r="L118" s="8"/>
      <c r="M118" s="8"/>
      <c r="N118" s="13">
        <v>-0.02</v>
      </c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0" t="s">
        <v>133</v>
      </c>
      <c r="B119" s="12">
        <v>0</v>
      </c>
      <c r="C119" s="12">
        <v>0</v>
      </c>
      <c r="D119" s="12">
        <v>0</v>
      </c>
      <c r="E119" s="12">
        <v>-0.02</v>
      </c>
      <c r="F119" s="12">
        <v>0</v>
      </c>
      <c r="G119" s="12">
        <v>150</v>
      </c>
      <c r="H119" s="12">
        <v>0</v>
      </c>
      <c r="I119" s="12">
        <v>53.89</v>
      </c>
      <c r="J119" s="12">
        <v>48.14</v>
      </c>
      <c r="K119" s="12">
        <v>0</v>
      </c>
      <c r="L119" s="12">
        <v>0</v>
      </c>
      <c r="M119" s="12">
        <v>0</v>
      </c>
      <c r="N119" s="12">
        <v>252.01</v>
      </c>
      <c r="O119" s="1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0" t="s">
        <v>134</v>
      </c>
      <c r="B120" s="12">
        <v>-694.13</v>
      </c>
      <c r="C120" s="12">
        <v>145.49</v>
      </c>
      <c r="D120" s="12">
        <v>-1822.39</v>
      </c>
      <c r="E120" s="12">
        <v>245.32</v>
      </c>
      <c r="F120" s="12">
        <v>1937.55</v>
      </c>
      <c r="G120" s="12">
        <v>1216.47</v>
      </c>
      <c r="H120" s="12">
        <v>-72.959999999999994</v>
      </c>
      <c r="I120" s="12">
        <v>-925.69</v>
      </c>
      <c r="J120" s="12">
        <v>3293.71</v>
      </c>
      <c r="K120" s="12">
        <v>2883.45</v>
      </c>
      <c r="L120" s="12">
        <v>3564.87</v>
      </c>
      <c r="M120" s="12">
        <v>-708.83</v>
      </c>
      <c r="N120" s="12">
        <v>9062.8799999999992</v>
      </c>
      <c r="O120" s="1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7" t="s">
        <v>135</v>
      </c>
      <c r="B121" s="84">
        <v>-0.03</v>
      </c>
      <c r="C121" s="84">
        <v>0.01</v>
      </c>
      <c r="D121" s="84">
        <v>-0.08</v>
      </c>
      <c r="E121" s="84">
        <v>0.01</v>
      </c>
      <c r="F121" s="84">
        <v>0.06</v>
      </c>
      <c r="G121" s="84">
        <v>0.05</v>
      </c>
      <c r="H121" s="84">
        <v>0</v>
      </c>
      <c r="I121" s="84">
        <v>-0.03</v>
      </c>
      <c r="J121" s="84">
        <v>0.1</v>
      </c>
      <c r="K121" s="84">
        <v>0.08</v>
      </c>
      <c r="L121" s="84">
        <v>0.1</v>
      </c>
      <c r="M121" s="84">
        <v>-0.02</v>
      </c>
      <c r="N121" s="84">
        <v>0.03</v>
      </c>
      <c r="O121" s="1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0"/>
      <c r="B122" s="8"/>
      <c r="C122" s="8"/>
      <c r="D122" s="8"/>
      <c r="E122" s="8"/>
      <c r="F122" s="8"/>
      <c r="G122" s="8"/>
      <c r="H122" s="8"/>
      <c r="I122" s="13"/>
      <c r="J122" s="8"/>
      <c r="K122" s="8"/>
      <c r="L122" s="8"/>
      <c r="M122" s="8"/>
      <c r="N122" s="13"/>
      <c r="O122" s="1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</sheetData>
  <sheetProtection algorithmName="SHA-512" hashValue="/xyNSLPTteYLHt/OcaQqYWGXp1TwM0nns40f9ME4Y8aJDLZBPz1iflBAOhGBKbcLYUyoYGj4jl886SvBH6CYHQ==" saltValue="iFn50Ff3zDOmeHGtSQOFRw==" spinCount="100000" sheet="1" objects="1" scenarios="1"/>
  <mergeCells count="3">
    <mergeCell ref="A1:N1"/>
    <mergeCell ref="A2:N2"/>
    <mergeCell ref="A128:N128"/>
  </mergeCells>
  <pageMargins left="0.25" right="0.25" top="0.75" bottom="0.75" header="0.3" footer="0.3"/>
  <pageSetup paperSize="5" scale="4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F3B6-D18A-4DE5-925B-6246030045EB}">
  <dimension ref="A1:AA177"/>
  <sheetViews>
    <sheetView zoomScale="120" zoomScaleNormal="120" workbookViewId="0">
      <pane xSplit="1" ySplit="4" topLeftCell="E130" activePane="bottomRight" state="frozen"/>
      <selection pane="topRight"/>
      <selection pane="bottomLeft"/>
      <selection pane="bottomRight" sqref="A1:N1"/>
    </sheetView>
  </sheetViews>
  <sheetFormatPr defaultColWidth="11" defaultRowHeight="15.75" x14ac:dyDescent="0.25"/>
  <cols>
    <col min="1" max="1" width="44.62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3" customWidth="1"/>
    <col min="16" max="16" width="3.375" customWidth="1"/>
    <col min="17" max="17" width="5.375" customWidth="1"/>
    <col min="18" max="18" width="1.375" customWidth="1"/>
  </cols>
  <sheetData>
    <row r="1" spans="1:27" ht="30.95" customHeight="1" x14ac:dyDescent="0.4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20.100000000000001" customHeight="1" x14ac:dyDescent="0.3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0.25" x14ac:dyDescent="0.3">
      <c r="A3" s="14"/>
      <c r="B3" s="117" t="s">
        <v>242</v>
      </c>
      <c r="C3" s="115"/>
      <c r="D3" s="115"/>
      <c r="E3" s="115"/>
      <c r="F3" s="116"/>
      <c r="G3" s="116"/>
      <c r="H3" s="116"/>
      <c r="I3" s="14"/>
      <c r="J3" s="14"/>
      <c r="K3" s="14"/>
      <c r="L3" s="14"/>
      <c r="M3" s="14"/>
      <c r="N3" s="14"/>
      <c r="O3" s="14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x14ac:dyDescent="0.25">
      <c r="A4" s="8"/>
      <c r="B4" s="48" t="s">
        <v>2</v>
      </c>
      <c r="C4" s="49">
        <v>45068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48" t="s">
        <v>9</v>
      </c>
      <c r="K4" s="48" t="s">
        <v>10</v>
      </c>
      <c r="L4" s="48" t="s">
        <v>11</v>
      </c>
      <c r="M4" s="48" t="s">
        <v>12</v>
      </c>
      <c r="N4" s="48" t="s">
        <v>13</v>
      </c>
      <c r="O4" s="14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23.25" x14ac:dyDescent="0.35">
      <c r="A5" s="5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4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5" t="s">
        <v>136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4"/>
      <c r="P6" s="47"/>
      <c r="Q6" s="47"/>
      <c r="R6" s="47"/>
      <c r="S6" s="51" t="s">
        <v>17</v>
      </c>
      <c r="T6" s="47" t="s">
        <v>18</v>
      </c>
      <c r="U6" s="47" t="s">
        <v>19</v>
      </c>
      <c r="V6" s="47" t="s">
        <v>20</v>
      </c>
      <c r="W6" s="47" t="s">
        <v>21</v>
      </c>
      <c r="X6" s="47" t="s">
        <v>22</v>
      </c>
      <c r="Y6" s="47"/>
      <c r="Z6" s="47" t="s">
        <v>23</v>
      </c>
      <c r="AA6" s="47"/>
    </row>
    <row r="7" spans="1:27" x14ac:dyDescent="0.25">
      <c r="A7" s="15" t="s">
        <v>24</v>
      </c>
      <c r="B7" s="8">
        <v>2101</v>
      </c>
      <c r="C7" s="8">
        <v>1576</v>
      </c>
      <c r="D7" s="8">
        <v>2626</v>
      </c>
      <c r="E7" s="8">
        <v>5253</v>
      </c>
      <c r="F7" s="8">
        <v>5778</v>
      </c>
      <c r="G7" s="8">
        <v>4202</v>
      </c>
      <c r="H7" s="8">
        <v>2101</v>
      </c>
      <c r="I7" s="8">
        <v>1576</v>
      </c>
      <c r="J7" s="8">
        <v>5253</v>
      </c>
      <c r="K7" s="8">
        <v>5778</v>
      </c>
      <c r="L7" s="8">
        <v>9455</v>
      </c>
      <c r="M7" s="8">
        <v>6829</v>
      </c>
      <c r="N7" s="52">
        <v>52528</v>
      </c>
      <c r="O7" s="14"/>
      <c r="P7" s="47"/>
      <c r="Q7" s="47"/>
      <c r="R7" s="47"/>
      <c r="S7" s="60">
        <v>0.5</v>
      </c>
      <c r="T7" s="47">
        <v>2497.645</v>
      </c>
      <c r="U7" s="47">
        <v>3001.1350000000002</v>
      </c>
      <c r="V7" s="53">
        <v>27735.49</v>
      </c>
      <c r="W7" s="47"/>
      <c r="X7" s="47"/>
      <c r="Y7" s="47"/>
      <c r="Z7" s="47">
        <v>33234.269999999997</v>
      </c>
      <c r="AA7" s="47"/>
    </row>
    <row r="8" spans="1:27" x14ac:dyDescent="0.25">
      <c r="A8" s="15" t="s">
        <v>25</v>
      </c>
      <c r="B8" s="8">
        <v>946</v>
      </c>
      <c r="C8" s="8">
        <v>998</v>
      </c>
      <c r="D8" s="8">
        <v>630</v>
      </c>
      <c r="E8" s="8">
        <v>420</v>
      </c>
      <c r="F8" s="8">
        <v>368</v>
      </c>
      <c r="G8" s="8">
        <v>1103</v>
      </c>
      <c r="H8" s="8">
        <v>1156</v>
      </c>
      <c r="I8" s="8">
        <v>1576</v>
      </c>
      <c r="J8" s="8">
        <v>1313</v>
      </c>
      <c r="K8" s="8">
        <v>735</v>
      </c>
      <c r="L8" s="8">
        <v>578</v>
      </c>
      <c r="M8" s="8">
        <v>683</v>
      </c>
      <c r="N8" s="52">
        <v>10506</v>
      </c>
      <c r="O8" s="14"/>
      <c r="P8" s="47"/>
      <c r="Q8" s="47"/>
      <c r="R8" s="47"/>
      <c r="S8" s="60">
        <v>0.1</v>
      </c>
      <c r="T8" s="47">
        <v>499.529</v>
      </c>
      <c r="U8" s="47">
        <v>600.22699999999998</v>
      </c>
      <c r="V8" s="53">
        <v>10400.51</v>
      </c>
      <c r="W8" s="47"/>
      <c r="X8" s="47"/>
      <c r="Y8" s="47"/>
      <c r="Z8" s="47">
        <v>11500.263000000001</v>
      </c>
      <c r="AA8" s="47"/>
    </row>
    <row r="9" spans="1:27" ht="18.75" customHeight="1" x14ac:dyDescent="0.25">
      <c r="A9" s="15" t="s">
        <v>26</v>
      </c>
      <c r="B9" s="8">
        <v>2942</v>
      </c>
      <c r="C9" s="8">
        <v>2521</v>
      </c>
      <c r="D9" s="8">
        <v>2521</v>
      </c>
      <c r="E9" s="8">
        <v>3362</v>
      </c>
      <c r="F9" s="8">
        <v>4202</v>
      </c>
      <c r="G9" s="8">
        <v>4202</v>
      </c>
      <c r="H9" s="8">
        <v>2521</v>
      </c>
      <c r="I9" s="8">
        <v>2101</v>
      </c>
      <c r="J9" s="8">
        <v>3362</v>
      </c>
      <c r="K9" s="8">
        <v>3782</v>
      </c>
      <c r="L9" s="8">
        <v>6303</v>
      </c>
      <c r="M9" s="8">
        <v>4202</v>
      </c>
      <c r="N9" s="52">
        <v>42022</v>
      </c>
      <c r="O9" s="14"/>
      <c r="P9" s="47"/>
      <c r="Q9" s="47"/>
      <c r="R9" s="47"/>
      <c r="S9" s="60">
        <v>0.4</v>
      </c>
      <c r="T9" s="47">
        <v>1998.116</v>
      </c>
      <c r="U9" s="47">
        <v>2400.9079999999999</v>
      </c>
      <c r="V9" s="53">
        <v>31200.52</v>
      </c>
      <c r="W9" s="47"/>
      <c r="X9" s="47"/>
      <c r="Y9" s="47"/>
      <c r="Z9" s="47">
        <v>35599.544000000002</v>
      </c>
      <c r="AA9" s="47"/>
    </row>
    <row r="10" spans="1:27" x14ac:dyDescent="0.25">
      <c r="A10" s="15" t="s">
        <v>27</v>
      </c>
      <c r="B10" s="55">
        <v>5988</v>
      </c>
      <c r="C10" s="55">
        <v>5095</v>
      </c>
      <c r="D10" s="55">
        <v>5778</v>
      </c>
      <c r="E10" s="55">
        <v>9035</v>
      </c>
      <c r="F10" s="55">
        <v>10348</v>
      </c>
      <c r="G10" s="55">
        <v>9508</v>
      </c>
      <c r="H10" s="55">
        <v>5778</v>
      </c>
      <c r="I10" s="55">
        <v>5253</v>
      </c>
      <c r="J10" s="55">
        <v>9928</v>
      </c>
      <c r="K10" s="55">
        <v>10295</v>
      </c>
      <c r="L10" s="55">
        <v>16336</v>
      </c>
      <c r="M10" s="55">
        <v>11714</v>
      </c>
      <c r="N10" s="55">
        <v>105056</v>
      </c>
      <c r="O10" s="14"/>
      <c r="P10" s="47"/>
      <c r="Q10" s="47"/>
      <c r="R10" s="47"/>
      <c r="S10" s="111" t="s">
        <v>137</v>
      </c>
      <c r="T10" s="47">
        <v>4995.29</v>
      </c>
      <c r="U10" s="47">
        <v>6002.27</v>
      </c>
      <c r="V10" s="47">
        <v>69336.517000000007</v>
      </c>
      <c r="W10" s="47"/>
      <c r="X10" s="47"/>
      <c r="Y10" s="47"/>
      <c r="Z10" s="47"/>
      <c r="AA10" s="47"/>
    </row>
    <row r="11" spans="1:27" x14ac:dyDescent="0.25">
      <c r="A11" s="15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8" t="s">
        <v>138</v>
      </c>
      <c r="O11" s="14"/>
      <c r="P11" s="47"/>
      <c r="Q11" s="47"/>
      <c r="R11" s="47"/>
      <c r="S11" s="111" t="s">
        <v>137</v>
      </c>
      <c r="T11" s="47"/>
      <c r="U11" s="47"/>
      <c r="V11" s="47"/>
      <c r="W11" s="47"/>
      <c r="X11" s="47"/>
      <c r="Y11" s="47"/>
      <c r="Z11" s="47"/>
      <c r="AA11" s="47"/>
    </row>
    <row r="12" spans="1:27" x14ac:dyDescent="0.25">
      <c r="A12" s="15" t="s">
        <v>29</v>
      </c>
      <c r="B12" s="8">
        <v>15478</v>
      </c>
      <c r="C12" s="8">
        <v>16446</v>
      </c>
      <c r="D12" s="8">
        <v>16446</v>
      </c>
      <c r="E12" s="8">
        <v>13543</v>
      </c>
      <c r="F12" s="8">
        <v>13543</v>
      </c>
      <c r="G12" s="8">
        <v>13543</v>
      </c>
      <c r="H12" s="8">
        <v>17413</v>
      </c>
      <c r="I12" s="8">
        <v>17413</v>
      </c>
      <c r="J12" s="8">
        <v>17413</v>
      </c>
      <c r="K12" s="8">
        <v>17413</v>
      </c>
      <c r="L12" s="8">
        <v>17413</v>
      </c>
      <c r="M12" s="8">
        <v>17413</v>
      </c>
      <c r="N12" s="52">
        <v>193477</v>
      </c>
      <c r="O12" s="14"/>
      <c r="P12" s="47"/>
      <c r="Q12" s="47"/>
      <c r="R12" s="47"/>
      <c r="S12" s="60">
        <v>0.85</v>
      </c>
      <c r="T12" s="5">
        <v>5968.64</v>
      </c>
      <c r="U12" s="5">
        <v>3433.48</v>
      </c>
      <c r="V12" s="5">
        <v>110623.57</v>
      </c>
      <c r="W12" s="5">
        <v>3756.79</v>
      </c>
      <c r="X12" s="5">
        <v>1579.41</v>
      </c>
      <c r="Y12" s="3">
        <v>123.55</v>
      </c>
      <c r="Z12" s="5">
        <v>125485.44</v>
      </c>
      <c r="AA12" s="47"/>
    </row>
    <row r="13" spans="1:27" x14ac:dyDescent="0.25">
      <c r="A13" s="15" t="s">
        <v>30</v>
      </c>
      <c r="B13" s="8">
        <v>683</v>
      </c>
      <c r="C13" s="8">
        <v>5121</v>
      </c>
      <c r="D13" s="8">
        <v>683</v>
      </c>
      <c r="E13" s="8">
        <v>683</v>
      </c>
      <c r="F13" s="8">
        <v>5121</v>
      </c>
      <c r="G13" s="8">
        <v>2049</v>
      </c>
      <c r="H13" s="8">
        <v>1366</v>
      </c>
      <c r="I13" s="8">
        <v>7511</v>
      </c>
      <c r="J13" s="8">
        <v>4097</v>
      </c>
      <c r="K13" s="8">
        <v>5121</v>
      </c>
      <c r="L13" s="8">
        <v>683</v>
      </c>
      <c r="M13" s="8">
        <v>1024</v>
      </c>
      <c r="N13" s="52">
        <v>34143</v>
      </c>
      <c r="O13" s="14"/>
      <c r="P13" s="47"/>
      <c r="Q13" s="47"/>
      <c r="R13" s="47"/>
      <c r="S13" s="60">
        <v>0.15</v>
      </c>
      <c r="T13" s="5">
        <v>1053.29</v>
      </c>
      <c r="U13" s="3">
        <v>605.91</v>
      </c>
      <c r="V13" s="5">
        <v>12291.51</v>
      </c>
      <c r="W13" s="3">
        <v>662.96</v>
      </c>
      <c r="X13" s="3">
        <v>278.72000000000003</v>
      </c>
      <c r="Y13" s="3"/>
      <c r="Z13" s="5">
        <v>14892.39</v>
      </c>
      <c r="AA13" s="47"/>
    </row>
    <row r="14" spans="1:27" x14ac:dyDescent="0.25">
      <c r="A14" s="15" t="s">
        <v>31</v>
      </c>
      <c r="B14" s="55">
        <v>16161</v>
      </c>
      <c r="C14" s="55">
        <v>21567</v>
      </c>
      <c r="D14" s="55">
        <v>17128</v>
      </c>
      <c r="E14" s="55">
        <v>14226</v>
      </c>
      <c r="F14" s="55">
        <v>18665</v>
      </c>
      <c r="G14" s="55">
        <v>15592</v>
      </c>
      <c r="H14" s="55">
        <v>18779</v>
      </c>
      <c r="I14" s="55">
        <v>24924</v>
      </c>
      <c r="J14" s="55">
        <v>21510</v>
      </c>
      <c r="K14" s="55">
        <v>22534</v>
      </c>
      <c r="L14" s="55">
        <v>18096</v>
      </c>
      <c r="M14" s="55">
        <v>18437</v>
      </c>
      <c r="N14" s="55">
        <v>227621</v>
      </c>
      <c r="O14" s="14"/>
      <c r="P14" s="47"/>
      <c r="Q14" s="47"/>
      <c r="R14" s="47"/>
      <c r="S14" s="59" t="s">
        <v>137</v>
      </c>
      <c r="T14" s="5">
        <v>7021.93</v>
      </c>
      <c r="U14" s="5">
        <v>4039.39</v>
      </c>
      <c r="V14" s="5">
        <v>122915.08</v>
      </c>
      <c r="W14" s="5">
        <v>4419.75</v>
      </c>
      <c r="X14" s="5">
        <v>1858.13</v>
      </c>
      <c r="Y14" s="3">
        <v>123.55</v>
      </c>
      <c r="Z14" s="3"/>
      <c r="AA14" s="47"/>
    </row>
    <row r="15" spans="1:27" x14ac:dyDescent="0.25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8" t="s">
        <v>138</v>
      </c>
      <c r="O15" s="14"/>
      <c r="P15" s="47"/>
      <c r="Q15" s="47"/>
      <c r="R15" s="47"/>
      <c r="S15" s="59" t="s">
        <v>137</v>
      </c>
      <c r="T15" s="3"/>
      <c r="U15" s="3"/>
      <c r="V15" s="3"/>
      <c r="W15" s="3"/>
      <c r="X15" s="3"/>
      <c r="Y15" s="3"/>
      <c r="Z15" s="3"/>
      <c r="AA15" s="47"/>
    </row>
    <row r="16" spans="1:27" x14ac:dyDescent="0.25">
      <c r="A16" s="15" t="s">
        <v>33</v>
      </c>
      <c r="B16" s="8">
        <v>189</v>
      </c>
      <c r="C16" s="8">
        <v>314</v>
      </c>
      <c r="D16" s="8">
        <v>629</v>
      </c>
      <c r="E16" s="8">
        <v>691</v>
      </c>
      <c r="F16" s="8">
        <v>503</v>
      </c>
      <c r="G16" s="8">
        <v>251</v>
      </c>
      <c r="H16" s="8">
        <v>189</v>
      </c>
      <c r="I16" s="8">
        <v>629</v>
      </c>
      <c r="J16" s="8">
        <v>691</v>
      </c>
      <c r="K16" s="8">
        <v>1131</v>
      </c>
      <c r="L16" s="8">
        <v>817</v>
      </c>
      <c r="M16" s="8">
        <v>251</v>
      </c>
      <c r="N16" s="52">
        <v>6285</v>
      </c>
      <c r="O16" s="14"/>
      <c r="P16" s="47"/>
      <c r="Q16" s="47"/>
      <c r="R16" s="47"/>
      <c r="S16" s="60">
        <v>0.36</v>
      </c>
      <c r="T16" s="3">
        <v>233.07</v>
      </c>
      <c r="U16" s="5">
        <v>1088.3599999999999</v>
      </c>
      <c r="V16" s="5">
        <v>1536.1</v>
      </c>
      <c r="W16" s="3"/>
      <c r="X16" s="3"/>
      <c r="Y16" s="3"/>
      <c r="Z16" s="5">
        <v>2857.52</v>
      </c>
      <c r="AA16" s="47"/>
    </row>
    <row r="17" spans="1:27" x14ac:dyDescent="0.25">
      <c r="A17" s="15" t="s">
        <v>34</v>
      </c>
      <c r="B17" s="8">
        <v>449</v>
      </c>
      <c r="C17" s="8">
        <v>337</v>
      </c>
      <c r="D17" s="8">
        <v>561</v>
      </c>
      <c r="E17" s="8">
        <v>1122</v>
      </c>
      <c r="F17" s="8">
        <v>1235</v>
      </c>
      <c r="G17" s="8">
        <v>898</v>
      </c>
      <c r="H17" s="8">
        <v>449</v>
      </c>
      <c r="I17" s="8">
        <v>337</v>
      </c>
      <c r="J17" s="8">
        <v>1122</v>
      </c>
      <c r="K17" s="8">
        <v>1235</v>
      </c>
      <c r="L17" s="8">
        <v>2020</v>
      </c>
      <c r="M17" s="8">
        <v>1459</v>
      </c>
      <c r="N17" s="52">
        <v>11224</v>
      </c>
      <c r="O17" s="14"/>
      <c r="P17" s="47"/>
      <c r="Q17" s="47"/>
      <c r="R17" s="47"/>
      <c r="S17" s="60">
        <v>0.64</v>
      </c>
      <c r="T17" s="3">
        <v>416.2</v>
      </c>
      <c r="U17" s="5">
        <v>1943.55</v>
      </c>
      <c r="V17" s="5">
        <v>2304.14</v>
      </c>
      <c r="W17" s="3"/>
      <c r="X17" s="3"/>
      <c r="Y17" s="3"/>
      <c r="Z17" s="5">
        <v>4663.8999999999996</v>
      </c>
      <c r="AA17" s="47"/>
    </row>
    <row r="18" spans="1:27" x14ac:dyDescent="0.25">
      <c r="A18" s="15" t="s">
        <v>35</v>
      </c>
      <c r="B18" s="55">
        <v>638</v>
      </c>
      <c r="C18" s="55">
        <v>651</v>
      </c>
      <c r="D18" s="55">
        <v>1190</v>
      </c>
      <c r="E18" s="55">
        <v>1814</v>
      </c>
      <c r="F18" s="55">
        <v>1737</v>
      </c>
      <c r="G18" s="55">
        <v>1149</v>
      </c>
      <c r="H18" s="55">
        <v>638</v>
      </c>
      <c r="I18" s="55">
        <v>965</v>
      </c>
      <c r="J18" s="55">
        <v>1814</v>
      </c>
      <c r="K18" s="55">
        <v>2366</v>
      </c>
      <c r="L18" s="55">
        <v>2837</v>
      </c>
      <c r="M18" s="55">
        <v>1711</v>
      </c>
      <c r="N18" s="55">
        <v>17509</v>
      </c>
      <c r="O18" s="14"/>
      <c r="P18" s="47"/>
      <c r="Q18" s="47"/>
      <c r="R18" s="47"/>
      <c r="S18" s="3"/>
      <c r="T18" s="3">
        <v>649.27</v>
      </c>
      <c r="U18" s="5">
        <v>3031.91</v>
      </c>
      <c r="V18" s="5">
        <v>3840.24</v>
      </c>
      <c r="W18" s="3"/>
      <c r="X18" s="3"/>
      <c r="Y18" s="3"/>
      <c r="Z18" s="3"/>
      <c r="AA18" s="47"/>
    </row>
    <row r="19" spans="1:27" x14ac:dyDescent="0.25">
      <c r="A19" s="15" t="s">
        <v>36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 t="s">
        <v>138</v>
      </c>
      <c r="O19" s="14"/>
      <c r="P19" s="47"/>
      <c r="Q19" s="47"/>
      <c r="R19" s="47"/>
      <c r="S19" s="3"/>
      <c r="T19" s="5">
        <v>12666.49</v>
      </c>
      <c r="U19" s="5">
        <v>13073.57</v>
      </c>
      <c r="V19" s="5">
        <v>196091.84</v>
      </c>
      <c r="W19" s="5">
        <v>4419.75</v>
      </c>
      <c r="X19" s="5">
        <v>1858.13</v>
      </c>
      <c r="Y19" s="3">
        <v>123.55</v>
      </c>
      <c r="Z19" s="5">
        <v>228233.33</v>
      </c>
      <c r="AA19" s="47"/>
    </row>
    <row r="20" spans="1:27" x14ac:dyDescent="0.25">
      <c r="A20" s="15" t="s">
        <v>37</v>
      </c>
      <c r="B20" s="8"/>
      <c r="C20" s="8"/>
      <c r="D20" s="8"/>
      <c r="E20" s="8"/>
      <c r="F20" s="8"/>
      <c r="G20" s="8"/>
      <c r="H20" s="8"/>
      <c r="I20" s="8">
        <v>131</v>
      </c>
      <c r="J20" s="8"/>
      <c r="K20" s="8">
        <v>19</v>
      </c>
      <c r="L20" s="8"/>
      <c r="M20" s="8">
        <v>932</v>
      </c>
      <c r="N20" s="52">
        <v>1082</v>
      </c>
      <c r="O20" s="14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27" x14ac:dyDescent="0.25">
      <c r="A21" s="15" t="s">
        <v>38</v>
      </c>
      <c r="B21" s="8"/>
      <c r="C21" s="8"/>
      <c r="D21" s="8"/>
      <c r="E21" s="8"/>
      <c r="F21" s="8">
        <v>201</v>
      </c>
      <c r="G21" s="8">
        <v>401</v>
      </c>
      <c r="H21" s="8">
        <v>201</v>
      </c>
      <c r="I21" s="8">
        <v>201</v>
      </c>
      <c r="J21" s="8">
        <v>201</v>
      </c>
      <c r="K21" s="8">
        <v>401</v>
      </c>
      <c r="L21" s="8">
        <v>201</v>
      </c>
      <c r="M21" s="8">
        <v>201</v>
      </c>
      <c r="N21" s="52">
        <v>2007</v>
      </c>
      <c r="O21" s="14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x14ac:dyDescent="0.25">
      <c r="A22" s="56" t="s">
        <v>39</v>
      </c>
      <c r="B22" s="55">
        <v>22787</v>
      </c>
      <c r="C22" s="55">
        <v>27313</v>
      </c>
      <c r="D22" s="55">
        <v>24096</v>
      </c>
      <c r="E22" s="55">
        <v>25075</v>
      </c>
      <c r="F22" s="55">
        <v>30951</v>
      </c>
      <c r="G22" s="55">
        <v>26650</v>
      </c>
      <c r="H22" s="55">
        <v>25395</v>
      </c>
      <c r="I22" s="55">
        <v>31474</v>
      </c>
      <c r="J22" s="55">
        <v>33452</v>
      </c>
      <c r="K22" s="55">
        <v>35617</v>
      </c>
      <c r="L22" s="55">
        <v>37470</v>
      </c>
      <c r="M22" s="55">
        <v>32994</v>
      </c>
      <c r="N22" s="55">
        <v>353274</v>
      </c>
      <c r="O22" s="14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ht="23.25" x14ac:dyDescent="0.35">
      <c r="A24" s="50" t="s">
        <v>40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4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ht="18" x14ac:dyDescent="0.25">
      <c r="A25" s="57" t="s">
        <v>139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4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1:27" x14ac:dyDescent="0.25">
      <c r="A26" s="15" t="s">
        <v>140</v>
      </c>
      <c r="B26" s="8">
        <v>150</v>
      </c>
      <c r="C26" s="8">
        <v>180</v>
      </c>
      <c r="D26" s="8">
        <v>210</v>
      </c>
      <c r="E26" s="8">
        <v>255</v>
      </c>
      <c r="F26" s="8">
        <v>270</v>
      </c>
      <c r="G26" s="8">
        <v>240</v>
      </c>
      <c r="H26" s="8">
        <v>150</v>
      </c>
      <c r="I26" s="8">
        <v>180</v>
      </c>
      <c r="J26" s="8">
        <v>255</v>
      </c>
      <c r="K26" s="8">
        <v>390</v>
      </c>
      <c r="L26" s="8">
        <v>390</v>
      </c>
      <c r="M26" s="8">
        <v>330</v>
      </c>
      <c r="N26" s="8">
        <v>3001</v>
      </c>
      <c r="O26" s="14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x14ac:dyDescent="0.25">
      <c r="A27" s="15" t="s">
        <v>141</v>
      </c>
      <c r="B27" s="8">
        <v>1387</v>
      </c>
      <c r="C27" s="8">
        <v>1664</v>
      </c>
      <c r="D27" s="8">
        <v>1941</v>
      </c>
      <c r="E27" s="8">
        <v>2358</v>
      </c>
      <c r="F27" s="8">
        <v>2496</v>
      </c>
      <c r="G27" s="8">
        <v>2219</v>
      </c>
      <c r="H27" s="8">
        <v>1387</v>
      </c>
      <c r="I27" s="8">
        <v>1664</v>
      </c>
      <c r="J27" s="8">
        <v>2358</v>
      </c>
      <c r="K27" s="8">
        <v>3606</v>
      </c>
      <c r="L27" s="8">
        <v>3606</v>
      </c>
      <c r="M27" s="8">
        <v>3051</v>
      </c>
      <c r="N27" s="8">
        <v>27735</v>
      </c>
      <c r="O27" s="14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x14ac:dyDescent="0.25">
      <c r="A28" s="15" t="s">
        <v>142</v>
      </c>
      <c r="B28" s="8">
        <v>125</v>
      </c>
      <c r="C28" s="8">
        <v>150</v>
      </c>
      <c r="D28" s="8">
        <v>175</v>
      </c>
      <c r="E28" s="8">
        <v>212</v>
      </c>
      <c r="F28" s="8">
        <v>225</v>
      </c>
      <c r="G28" s="8">
        <v>200</v>
      </c>
      <c r="H28" s="8">
        <v>125</v>
      </c>
      <c r="I28" s="8">
        <v>150</v>
      </c>
      <c r="J28" s="8">
        <v>212</v>
      </c>
      <c r="K28" s="8">
        <v>325</v>
      </c>
      <c r="L28" s="8">
        <v>325</v>
      </c>
      <c r="M28" s="8">
        <v>275</v>
      </c>
      <c r="N28" s="8">
        <v>2498</v>
      </c>
      <c r="O28" s="14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x14ac:dyDescent="0.25">
      <c r="A29" s="15" t="s">
        <v>143</v>
      </c>
      <c r="B29" s="55">
        <v>1662</v>
      </c>
      <c r="C29" s="55">
        <v>1994</v>
      </c>
      <c r="D29" s="55">
        <v>2326</v>
      </c>
      <c r="E29" s="55">
        <v>2825</v>
      </c>
      <c r="F29" s="55">
        <v>2991</v>
      </c>
      <c r="G29" s="55">
        <v>2659</v>
      </c>
      <c r="H29" s="55">
        <v>1662</v>
      </c>
      <c r="I29" s="55">
        <v>1994</v>
      </c>
      <c r="J29" s="55">
        <v>2825</v>
      </c>
      <c r="K29" s="55">
        <v>4320</v>
      </c>
      <c r="L29" s="55">
        <v>4320</v>
      </c>
      <c r="M29" s="55">
        <v>3656</v>
      </c>
      <c r="N29" s="55">
        <v>33234</v>
      </c>
      <c r="O29" s="14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x14ac:dyDescent="0.25">
      <c r="A30" s="15" t="s">
        <v>144</v>
      </c>
      <c r="B30" s="58">
        <v>439</v>
      </c>
      <c r="C30" s="58">
        <v>-418</v>
      </c>
      <c r="D30" s="58">
        <v>300</v>
      </c>
      <c r="E30" s="58">
        <v>2428</v>
      </c>
      <c r="F30" s="58">
        <v>2787</v>
      </c>
      <c r="G30" s="58">
        <v>1543</v>
      </c>
      <c r="H30" s="58">
        <v>439</v>
      </c>
      <c r="I30" s="58">
        <v>-418</v>
      </c>
      <c r="J30" s="58">
        <v>2428</v>
      </c>
      <c r="K30" s="58">
        <v>1458</v>
      </c>
      <c r="L30" s="58">
        <v>5135</v>
      </c>
      <c r="M30" s="58">
        <v>3173</v>
      </c>
      <c r="N30" s="58">
        <v>19294</v>
      </c>
      <c r="O30" s="14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x14ac:dyDescent="0.25">
      <c r="A31" s="59" t="s">
        <v>145</v>
      </c>
      <c r="B31" s="60">
        <f>B30/B7</f>
        <v>0.20894811994288434</v>
      </c>
      <c r="C31" s="60">
        <f t="shared" ref="C31:N31" si="0">C30/C7</f>
        <v>-0.26522842639593908</v>
      </c>
      <c r="D31" s="60">
        <f t="shared" si="0"/>
        <v>0.11424219345011424</v>
      </c>
      <c r="E31" s="60">
        <f t="shared" si="0"/>
        <v>0.46221206929373693</v>
      </c>
      <c r="F31" s="60">
        <f t="shared" si="0"/>
        <v>0.48234683281412255</v>
      </c>
      <c r="G31" s="60">
        <f t="shared" si="0"/>
        <v>0.36720609233698237</v>
      </c>
      <c r="H31" s="60">
        <f t="shared" si="0"/>
        <v>0.20894811994288434</v>
      </c>
      <c r="I31" s="60">
        <f t="shared" si="0"/>
        <v>-0.26522842639593908</v>
      </c>
      <c r="J31" s="60">
        <f t="shared" si="0"/>
        <v>0.46221206929373693</v>
      </c>
      <c r="K31" s="60">
        <f t="shared" si="0"/>
        <v>0.25233644859813081</v>
      </c>
      <c r="L31" s="60">
        <f t="shared" si="0"/>
        <v>0.54309888947646745</v>
      </c>
      <c r="M31" s="60">
        <f t="shared" si="0"/>
        <v>0.46463611070434913</v>
      </c>
      <c r="N31" s="60">
        <f t="shared" si="0"/>
        <v>0.3673088638440451</v>
      </c>
      <c r="O31" s="14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x14ac:dyDescent="0.25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4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1:27" x14ac:dyDescent="0.25">
      <c r="A33" s="15" t="s">
        <v>146</v>
      </c>
      <c r="B33" s="8">
        <v>30</v>
      </c>
      <c r="C33" s="8">
        <v>36</v>
      </c>
      <c r="D33" s="8">
        <v>42</v>
      </c>
      <c r="E33" s="8">
        <v>51</v>
      </c>
      <c r="F33" s="8">
        <v>54</v>
      </c>
      <c r="G33" s="8">
        <v>48</v>
      </c>
      <c r="H33" s="8">
        <v>30</v>
      </c>
      <c r="I33" s="8">
        <v>36</v>
      </c>
      <c r="J33" s="8">
        <v>51</v>
      </c>
      <c r="K33" s="8">
        <v>78</v>
      </c>
      <c r="L33" s="8">
        <v>78</v>
      </c>
      <c r="M33" s="8">
        <v>66</v>
      </c>
      <c r="N33" s="8">
        <v>600</v>
      </c>
      <c r="O33" s="14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x14ac:dyDescent="0.25">
      <c r="A34" s="15" t="s">
        <v>147</v>
      </c>
      <c r="B34" s="8">
        <v>988</v>
      </c>
      <c r="C34" s="8">
        <v>936</v>
      </c>
      <c r="D34" s="8">
        <v>624</v>
      </c>
      <c r="E34" s="8">
        <v>364</v>
      </c>
      <c r="F34" s="8">
        <v>416</v>
      </c>
      <c r="G34" s="8">
        <v>1144</v>
      </c>
      <c r="H34" s="8">
        <v>1092</v>
      </c>
      <c r="I34" s="8">
        <v>1300</v>
      </c>
      <c r="J34" s="8">
        <v>1560</v>
      </c>
      <c r="K34" s="8">
        <v>728</v>
      </c>
      <c r="L34" s="8">
        <v>572</v>
      </c>
      <c r="M34" s="8">
        <v>676</v>
      </c>
      <c r="N34" s="8">
        <v>10401</v>
      </c>
      <c r="O34" s="14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x14ac:dyDescent="0.25">
      <c r="A35" s="15" t="s">
        <v>148</v>
      </c>
      <c r="B35" s="8">
        <v>25</v>
      </c>
      <c r="C35" s="8">
        <v>30</v>
      </c>
      <c r="D35" s="8">
        <v>35</v>
      </c>
      <c r="E35" s="8">
        <v>42</v>
      </c>
      <c r="F35" s="8">
        <v>45</v>
      </c>
      <c r="G35" s="8">
        <v>40</v>
      </c>
      <c r="H35" s="8">
        <v>25</v>
      </c>
      <c r="I35" s="8">
        <v>30</v>
      </c>
      <c r="J35" s="8">
        <v>42</v>
      </c>
      <c r="K35" s="8">
        <v>65</v>
      </c>
      <c r="L35" s="8">
        <v>65</v>
      </c>
      <c r="M35" s="8">
        <v>55</v>
      </c>
      <c r="N35" s="8">
        <v>500</v>
      </c>
      <c r="O35" s="14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x14ac:dyDescent="0.25">
      <c r="A36" s="15" t="s">
        <v>149</v>
      </c>
      <c r="B36" s="55">
        <v>1043</v>
      </c>
      <c r="C36" s="55">
        <v>1002</v>
      </c>
      <c r="D36" s="55">
        <v>701</v>
      </c>
      <c r="E36" s="55">
        <v>457</v>
      </c>
      <c r="F36" s="55">
        <v>515</v>
      </c>
      <c r="G36" s="55">
        <v>1232</v>
      </c>
      <c r="H36" s="55">
        <v>1147</v>
      </c>
      <c r="I36" s="55">
        <v>1366</v>
      </c>
      <c r="J36" s="55">
        <v>1654</v>
      </c>
      <c r="K36" s="55">
        <v>871</v>
      </c>
      <c r="L36" s="55">
        <v>715</v>
      </c>
      <c r="M36" s="55">
        <v>797</v>
      </c>
      <c r="N36" s="55">
        <v>11500</v>
      </c>
      <c r="O36" s="14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x14ac:dyDescent="0.25">
      <c r="A37" s="15" t="s">
        <v>150</v>
      </c>
      <c r="B37" s="58">
        <v>-98</v>
      </c>
      <c r="C37" s="58">
        <v>-4</v>
      </c>
      <c r="D37" s="58">
        <v>-71</v>
      </c>
      <c r="E37" s="58">
        <v>-37</v>
      </c>
      <c r="F37" s="58">
        <v>-147</v>
      </c>
      <c r="G37" s="58">
        <v>-129</v>
      </c>
      <c r="H37" s="58">
        <v>9</v>
      </c>
      <c r="I37" s="58">
        <v>210</v>
      </c>
      <c r="J37" s="58">
        <v>-340</v>
      </c>
      <c r="K37" s="58">
        <v>-136</v>
      </c>
      <c r="L37" s="58">
        <v>-137</v>
      </c>
      <c r="M37" s="58">
        <v>-114</v>
      </c>
      <c r="N37" s="58">
        <v>-995</v>
      </c>
      <c r="O37" s="14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x14ac:dyDescent="0.25">
      <c r="A38" s="59" t="s">
        <v>151</v>
      </c>
      <c r="B38" s="60">
        <f>B37/B8</f>
        <v>-0.10359408033826638</v>
      </c>
      <c r="C38" s="60">
        <f t="shared" ref="C38:N38" si="1">C37/C8</f>
        <v>-4.0080160320641279E-3</v>
      </c>
      <c r="D38" s="60">
        <f t="shared" si="1"/>
        <v>-0.1126984126984127</v>
      </c>
      <c r="E38" s="60">
        <f t="shared" si="1"/>
        <v>-8.8095238095238101E-2</v>
      </c>
      <c r="F38" s="60">
        <f t="shared" si="1"/>
        <v>-0.39945652173913043</v>
      </c>
      <c r="G38" s="60">
        <f t="shared" si="1"/>
        <v>-0.11695376246600181</v>
      </c>
      <c r="H38" s="60">
        <f t="shared" si="1"/>
        <v>7.7854671280276812E-3</v>
      </c>
      <c r="I38" s="60">
        <f t="shared" si="1"/>
        <v>0.13324873096446702</v>
      </c>
      <c r="J38" s="60">
        <f t="shared" si="1"/>
        <v>-0.25894897182025894</v>
      </c>
      <c r="K38" s="60">
        <f t="shared" si="1"/>
        <v>-0.18503401360544217</v>
      </c>
      <c r="L38" s="60">
        <f t="shared" si="1"/>
        <v>-0.23702422145328719</v>
      </c>
      <c r="M38" s="60">
        <f t="shared" si="1"/>
        <v>-0.16691068814055637</v>
      </c>
      <c r="N38" s="60">
        <f t="shared" si="1"/>
        <v>-9.470778602703217E-2</v>
      </c>
      <c r="O38" s="14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ht="27" customHeight="1" x14ac:dyDescent="0.25">
      <c r="A39" s="1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4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27" x14ac:dyDescent="0.25">
      <c r="A40" s="15" t="s">
        <v>152</v>
      </c>
      <c r="B40" s="8">
        <v>120</v>
      </c>
      <c r="C40" s="8">
        <v>144</v>
      </c>
      <c r="D40" s="8">
        <v>168</v>
      </c>
      <c r="E40" s="8">
        <v>204</v>
      </c>
      <c r="F40" s="8">
        <v>216</v>
      </c>
      <c r="G40" s="8">
        <v>192</v>
      </c>
      <c r="H40" s="8">
        <v>120</v>
      </c>
      <c r="I40" s="8">
        <v>144</v>
      </c>
      <c r="J40" s="8">
        <v>204</v>
      </c>
      <c r="K40" s="8">
        <v>312</v>
      </c>
      <c r="L40" s="8">
        <v>312</v>
      </c>
      <c r="M40" s="8">
        <v>264</v>
      </c>
      <c r="N40" s="8">
        <v>2401</v>
      </c>
      <c r="O40" s="14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x14ac:dyDescent="0.25">
      <c r="A41" s="15" t="s">
        <v>153</v>
      </c>
      <c r="B41" s="8">
        <v>1872</v>
      </c>
      <c r="C41" s="8">
        <v>2085</v>
      </c>
      <c r="D41" s="8">
        <v>1716</v>
      </c>
      <c r="E41" s="8">
        <v>2384</v>
      </c>
      <c r="F41" s="8">
        <v>3432</v>
      </c>
      <c r="G41" s="8">
        <v>2808</v>
      </c>
      <c r="H41" s="8">
        <v>2174</v>
      </c>
      <c r="I41" s="8">
        <v>1744</v>
      </c>
      <c r="J41" s="8">
        <v>2340</v>
      </c>
      <c r="K41" s="8">
        <v>3120</v>
      </c>
      <c r="L41" s="8">
        <v>4368</v>
      </c>
      <c r="M41" s="8">
        <v>3158</v>
      </c>
      <c r="N41" s="8">
        <v>31201</v>
      </c>
      <c r="O41" s="14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ht="18" customHeight="1" x14ac:dyDescent="0.25">
      <c r="A42" s="15" t="s">
        <v>154</v>
      </c>
      <c r="B42" s="8">
        <v>100</v>
      </c>
      <c r="C42" s="8">
        <v>120</v>
      </c>
      <c r="D42" s="8">
        <v>140</v>
      </c>
      <c r="E42" s="8">
        <v>170</v>
      </c>
      <c r="F42" s="8">
        <v>180</v>
      </c>
      <c r="G42" s="8">
        <v>160</v>
      </c>
      <c r="H42" s="8">
        <v>100</v>
      </c>
      <c r="I42" s="8">
        <v>120</v>
      </c>
      <c r="J42" s="8">
        <v>170</v>
      </c>
      <c r="K42" s="8">
        <v>260</v>
      </c>
      <c r="L42" s="8">
        <v>260</v>
      </c>
      <c r="M42" s="8">
        <v>220</v>
      </c>
      <c r="N42" s="8">
        <v>1998</v>
      </c>
      <c r="O42" s="14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x14ac:dyDescent="0.25">
      <c r="A43" s="15" t="s">
        <v>155</v>
      </c>
      <c r="B43" s="55">
        <v>2092</v>
      </c>
      <c r="C43" s="55">
        <v>2348</v>
      </c>
      <c r="D43" s="55">
        <v>2024</v>
      </c>
      <c r="E43" s="55">
        <v>2758</v>
      </c>
      <c r="F43" s="55">
        <v>3828</v>
      </c>
      <c r="G43" s="55">
        <v>3160</v>
      </c>
      <c r="H43" s="55">
        <v>2394</v>
      </c>
      <c r="I43" s="55">
        <v>2008</v>
      </c>
      <c r="J43" s="55">
        <v>2714</v>
      </c>
      <c r="K43" s="55">
        <v>3692</v>
      </c>
      <c r="L43" s="55">
        <v>4940</v>
      </c>
      <c r="M43" s="55">
        <v>3641</v>
      </c>
      <c r="N43" s="55">
        <v>35600</v>
      </c>
      <c r="O43" s="14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x14ac:dyDescent="0.25">
      <c r="A44" s="15" t="s">
        <v>156</v>
      </c>
      <c r="B44" s="58">
        <v>850</v>
      </c>
      <c r="C44" s="58">
        <v>173</v>
      </c>
      <c r="D44" s="58">
        <v>497</v>
      </c>
      <c r="E44" s="58">
        <v>604</v>
      </c>
      <c r="F44" s="58">
        <v>374</v>
      </c>
      <c r="G44" s="58">
        <v>1042</v>
      </c>
      <c r="H44" s="58">
        <v>127</v>
      </c>
      <c r="I44" s="58">
        <v>93</v>
      </c>
      <c r="J44" s="58">
        <v>648</v>
      </c>
      <c r="K44" s="58">
        <v>90</v>
      </c>
      <c r="L44" s="58">
        <v>1363</v>
      </c>
      <c r="M44" s="58">
        <v>561</v>
      </c>
      <c r="N44" s="58">
        <v>6423</v>
      </c>
      <c r="O44" s="14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x14ac:dyDescent="0.25">
      <c r="A45" s="59" t="s">
        <v>157</v>
      </c>
      <c r="B45" s="60">
        <f>B44/B9</f>
        <v>0.28891910265125764</v>
      </c>
      <c r="C45" s="60">
        <f t="shared" ref="C45:N45" si="2">C44/C9</f>
        <v>6.8623562078540257E-2</v>
      </c>
      <c r="D45" s="60">
        <f t="shared" si="2"/>
        <v>0.19714399047996828</v>
      </c>
      <c r="E45" s="60">
        <f t="shared" si="2"/>
        <v>0.17965496728138014</v>
      </c>
      <c r="F45" s="60">
        <f t="shared" si="2"/>
        <v>8.9005235602094238E-2</v>
      </c>
      <c r="G45" s="60">
        <f t="shared" si="2"/>
        <v>0.24797715373631604</v>
      </c>
      <c r="H45" s="60">
        <f t="shared" si="2"/>
        <v>5.0376834589448631E-2</v>
      </c>
      <c r="I45" s="60">
        <f t="shared" si="2"/>
        <v>4.4264635887672536E-2</v>
      </c>
      <c r="J45" s="60">
        <f t="shared" si="2"/>
        <v>0.19274241522903035</v>
      </c>
      <c r="K45" s="60">
        <f t="shared" si="2"/>
        <v>2.3796932839767318E-2</v>
      </c>
      <c r="L45" s="60">
        <f t="shared" si="2"/>
        <v>0.21624623195303824</v>
      </c>
      <c r="M45" s="60">
        <f t="shared" si="2"/>
        <v>0.13350785340314136</v>
      </c>
      <c r="N45" s="60">
        <f t="shared" si="2"/>
        <v>0.15284850792442053</v>
      </c>
      <c r="O45" s="14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x14ac:dyDescent="0.25">
      <c r="A46" s="15" t="s">
        <v>158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4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ht="18" x14ac:dyDescent="0.25">
      <c r="A47" s="57" t="s">
        <v>159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4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27" x14ac:dyDescent="0.25">
      <c r="A48" s="15" t="s">
        <v>160</v>
      </c>
      <c r="B48" s="8">
        <v>283</v>
      </c>
      <c r="C48" s="8">
        <v>404</v>
      </c>
      <c r="D48" s="8">
        <v>283</v>
      </c>
      <c r="E48" s="8">
        <v>242</v>
      </c>
      <c r="F48" s="8">
        <v>323</v>
      </c>
      <c r="G48" s="8">
        <v>283</v>
      </c>
      <c r="H48" s="8">
        <v>323</v>
      </c>
      <c r="I48" s="8">
        <v>404</v>
      </c>
      <c r="J48" s="8">
        <v>364</v>
      </c>
      <c r="K48" s="8">
        <v>404</v>
      </c>
      <c r="L48" s="8">
        <v>364</v>
      </c>
      <c r="M48" s="8">
        <v>364</v>
      </c>
      <c r="N48" s="8">
        <v>4039</v>
      </c>
      <c r="O48" s="14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27" x14ac:dyDescent="0.25">
      <c r="A49" s="15" t="s">
        <v>161</v>
      </c>
      <c r="B49" s="8">
        <v>9649</v>
      </c>
      <c r="C49" s="8">
        <v>10140</v>
      </c>
      <c r="D49" s="8">
        <v>8874</v>
      </c>
      <c r="E49" s="8">
        <v>7768</v>
      </c>
      <c r="F49" s="8">
        <v>9410</v>
      </c>
      <c r="G49" s="8">
        <v>8481</v>
      </c>
      <c r="H49" s="8">
        <v>10227</v>
      </c>
      <c r="I49" s="8">
        <v>13545</v>
      </c>
      <c r="J49" s="8">
        <v>10989</v>
      </c>
      <c r="K49" s="8">
        <v>11579</v>
      </c>
      <c r="L49" s="8">
        <v>12414</v>
      </c>
      <c r="M49" s="8">
        <v>9838</v>
      </c>
      <c r="N49" s="8">
        <v>122915</v>
      </c>
      <c r="O49" s="14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spans="1:27" x14ac:dyDescent="0.25">
      <c r="A50" s="15" t="s">
        <v>162</v>
      </c>
      <c r="B50" s="8">
        <v>492</v>
      </c>
      <c r="C50" s="8">
        <v>702</v>
      </c>
      <c r="D50" s="8">
        <v>492</v>
      </c>
      <c r="E50" s="8">
        <v>421</v>
      </c>
      <c r="F50" s="8">
        <v>562</v>
      </c>
      <c r="G50" s="8">
        <v>492</v>
      </c>
      <c r="H50" s="8">
        <v>562</v>
      </c>
      <c r="I50" s="8">
        <v>702</v>
      </c>
      <c r="J50" s="8">
        <v>632</v>
      </c>
      <c r="K50" s="8">
        <v>702</v>
      </c>
      <c r="L50" s="8">
        <v>632</v>
      </c>
      <c r="M50" s="8">
        <v>632</v>
      </c>
      <c r="N50" s="8">
        <v>7022</v>
      </c>
      <c r="O50" s="14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x14ac:dyDescent="0.25">
      <c r="A51" s="15" t="s">
        <v>163</v>
      </c>
      <c r="B51" s="55">
        <v>10423</v>
      </c>
      <c r="C51" s="55">
        <v>11247</v>
      </c>
      <c r="D51" s="55">
        <v>9649</v>
      </c>
      <c r="E51" s="55">
        <v>8432</v>
      </c>
      <c r="F51" s="55">
        <v>10295</v>
      </c>
      <c r="G51" s="55">
        <v>9255</v>
      </c>
      <c r="H51" s="55">
        <v>11111</v>
      </c>
      <c r="I51" s="55">
        <v>14651</v>
      </c>
      <c r="J51" s="55">
        <v>11984</v>
      </c>
      <c r="K51" s="55">
        <v>12685</v>
      </c>
      <c r="L51" s="55">
        <v>13410</v>
      </c>
      <c r="M51" s="55">
        <v>10834</v>
      </c>
      <c r="N51" s="55">
        <v>133976</v>
      </c>
      <c r="O51" s="14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 spans="1:27" x14ac:dyDescent="0.25">
      <c r="A52" s="15" t="s">
        <v>164</v>
      </c>
      <c r="B52" s="58">
        <v>5738</v>
      </c>
      <c r="C52" s="58">
        <v>10320</v>
      </c>
      <c r="D52" s="58">
        <v>7480</v>
      </c>
      <c r="E52" s="58">
        <v>5794</v>
      </c>
      <c r="F52" s="58">
        <v>8370</v>
      </c>
      <c r="G52" s="58">
        <v>6337</v>
      </c>
      <c r="H52" s="58">
        <v>7667</v>
      </c>
      <c r="I52" s="58">
        <v>10273</v>
      </c>
      <c r="J52" s="58">
        <v>9526</v>
      </c>
      <c r="K52" s="58">
        <v>9850</v>
      </c>
      <c r="L52" s="58">
        <v>4686</v>
      </c>
      <c r="M52" s="58">
        <v>7604</v>
      </c>
      <c r="N52" s="58">
        <v>93644</v>
      </c>
      <c r="O52" s="14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 spans="1:27" x14ac:dyDescent="0.25">
      <c r="A53" s="59" t="s">
        <v>165</v>
      </c>
      <c r="B53" s="60">
        <f>B52/B14</f>
        <v>0.35505228636841779</v>
      </c>
      <c r="C53" s="60">
        <f t="shared" ref="C53:N53" si="3">C52/C14</f>
        <v>0.4785088329392127</v>
      </c>
      <c r="D53" s="60">
        <f t="shared" si="3"/>
        <v>0.43671181690798694</v>
      </c>
      <c r="E53" s="60">
        <f t="shared" si="3"/>
        <v>0.40728244060171515</v>
      </c>
      <c r="F53" s="60">
        <f t="shared" si="3"/>
        <v>0.44843289579426737</v>
      </c>
      <c r="G53" s="60">
        <f t="shared" si="3"/>
        <v>0.40642637249871727</v>
      </c>
      <c r="H53" s="60">
        <f t="shared" si="3"/>
        <v>0.40827520102241865</v>
      </c>
      <c r="I53" s="60">
        <f t="shared" si="3"/>
        <v>0.41217300593805167</v>
      </c>
      <c r="J53" s="60">
        <f t="shared" si="3"/>
        <v>0.4428637842863784</v>
      </c>
      <c r="K53" s="60">
        <f t="shared" si="3"/>
        <v>0.43711724505192157</v>
      </c>
      <c r="L53" s="60">
        <f t="shared" si="3"/>
        <v>0.2589522546419098</v>
      </c>
      <c r="M53" s="60">
        <f t="shared" si="3"/>
        <v>0.41243152356674079</v>
      </c>
      <c r="N53" s="60">
        <f t="shared" si="3"/>
        <v>0.41140316578874531</v>
      </c>
      <c r="O53" s="14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 spans="1:27" x14ac:dyDescent="0.25">
      <c r="A54" s="1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4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 spans="1:27" ht="18" x14ac:dyDescent="0.25">
      <c r="A55" s="57" t="s">
        <v>166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4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 spans="1:27" x14ac:dyDescent="0.25">
      <c r="A56" s="15" t="s">
        <v>167</v>
      </c>
      <c r="B56" s="8">
        <v>151</v>
      </c>
      <c r="C56" s="8">
        <v>146</v>
      </c>
      <c r="D56" s="8">
        <v>212</v>
      </c>
      <c r="E56" s="8">
        <v>216</v>
      </c>
      <c r="F56" s="8">
        <v>303</v>
      </c>
      <c r="G56" s="8">
        <v>240</v>
      </c>
      <c r="H56" s="8">
        <v>202</v>
      </c>
      <c r="I56" s="8">
        <v>274</v>
      </c>
      <c r="J56" s="8">
        <v>243</v>
      </c>
      <c r="K56" s="8">
        <v>364</v>
      </c>
      <c r="L56" s="8">
        <v>385</v>
      </c>
      <c r="M56" s="8">
        <v>297</v>
      </c>
      <c r="N56" s="8">
        <v>3032</v>
      </c>
      <c r="O56" s="14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 spans="1:27" x14ac:dyDescent="0.25">
      <c r="A57" s="15" t="s">
        <v>168</v>
      </c>
      <c r="B57" s="8">
        <v>169</v>
      </c>
      <c r="C57" s="8">
        <v>175</v>
      </c>
      <c r="D57" s="8">
        <v>200</v>
      </c>
      <c r="E57" s="8">
        <v>234</v>
      </c>
      <c r="F57" s="8">
        <v>353</v>
      </c>
      <c r="G57" s="8">
        <v>318</v>
      </c>
      <c r="H57" s="8">
        <v>257</v>
      </c>
      <c r="I57" s="8">
        <v>261</v>
      </c>
      <c r="J57" s="8">
        <v>415</v>
      </c>
      <c r="K57" s="8">
        <v>507</v>
      </c>
      <c r="L57" s="8">
        <v>614</v>
      </c>
      <c r="M57" s="8">
        <v>338</v>
      </c>
      <c r="N57" s="8">
        <v>3840</v>
      </c>
      <c r="O57" s="14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 spans="1:27" x14ac:dyDescent="0.25">
      <c r="A58" s="15" t="s">
        <v>169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106</v>
      </c>
      <c r="J58" s="8">
        <v>0</v>
      </c>
      <c r="K58" s="8">
        <v>15</v>
      </c>
      <c r="L58" s="8">
        <v>0</v>
      </c>
      <c r="M58" s="8">
        <v>528</v>
      </c>
      <c r="N58" s="8">
        <v>649</v>
      </c>
      <c r="O58" s="14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spans="1:27" x14ac:dyDescent="0.25">
      <c r="A59" s="15" t="s">
        <v>170</v>
      </c>
      <c r="B59" s="55">
        <v>320</v>
      </c>
      <c r="C59" s="55">
        <v>321</v>
      </c>
      <c r="D59" s="55">
        <v>412</v>
      </c>
      <c r="E59" s="55">
        <v>450</v>
      </c>
      <c r="F59" s="55">
        <v>656</v>
      </c>
      <c r="G59" s="55">
        <v>558</v>
      </c>
      <c r="H59" s="55">
        <v>459</v>
      </c>
      <c r="I59" s="55">
        <v>641</v>
      </c>
      <c r="J59" s="55">
        <v>657</v>
      </c>
      <c r="K59" s="55">
        <v>886</v>
      </c>
      <c r="L59" s="55">
        <v>999</v>
      </c>
      <c r="M59" s="55">
        <v>1163</v>
      </c>
      <c r="N59" s="55">
        <v>7521</v>
      </c>
      <c r="O59" s="14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spans="1:27" x14ac:dyDescent="0.25">
      <c r="A60" s="15" t="s">
        <v>171</v>
      </c>
      <c r="B60" s="58">
        <v>318</v>
      </c>
      <c r="C60" s="58">
        <v>330</v>
      </c>
      <c r="D60" s="58">
        <v>778</v>
      </c>
      <c r="E60" s="58">
        <v>1364</v>
      </c>
      <c r="F60" s="58">
        <v>1081</v>
      </c>
      <c r="G60" s="58">
        <v>591</v>
      </c>
      <c r="H60" s="58">
        <v>179</v>
      </c>
      <c r="I60" s="58">
        <v>325</v>
      </c>
      <c r="J60" s="58">
        <v>1156</v>
      </c>
      <c r="K60" s="58">
        <v>1480</v>
      </c>
      <c r="L60" s="58">
        <v>1839</v>
      </c>
      <c r="M60" s="58">
        <v>547</v>
      </c>
      <c r="N60" s="58">
        <v>9988</v>
      </c>
      <c r="O60" s="14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x14ac:dyDescent="0.25">
      <c r="A61" s="59" t="s">
        <v>172</v>
      </c>
      <c r="B61" s="60">
        <f>B60/B18</f>
        <v>0.49843260188087773</v>
      </c>
      <c r="C61" s="60">
        <f t="shared" ref="C61:N61" si="4">C60/C18</f>
        <v>0.50691244239631339</v>
      </c>
      <c r="D61" s="60">
        <f t="shared" si="4"/>
        <v>0.65378151260504203</v>
      </c>
      <c r="E61" s="60">
        <f t="shared" si="4"/>
        <v>0.75192943770672549</v>
      </c>
      <c r="F61" s="60">
        <f t="shared" si="4"/>
        <v>0.62233736327000577</v>
      </c>
      <c r="G61" s="60">
        <f t="shared" si="4"/>
        <v>0.51436031331592691</v>
      </c>
      <c r="H61" s="60">
        <f t="shared" si="4"/>
        <v>0.28056426332288403</v>
      </c>
      <c r="I61" s="60">
        <f t="shared" si="4"/>
        <v>0.33678756476683935</v>
      </c>
      <c r="J61" s="60">
        <f t="shared" si="4"/>
        <v>0.63726571113561192</v>
      </c>
      <c r="K61" s="60">
        <f t="shared" si="4"/>
        <v>0.62552831783601015</v>
      </c>
      <c r="L61" s="60">
        <f t="shared" si="4"/>
        <v>0.64821995065209725</v>
      </c>
      <c r="M61" s="60">
        <f t="shared" si="4"/>
        <v>0.31969608416130918</v>
      </c>
      <c r="N61" s="60">
        <f t="shared" si="4"/>
        <v>0.57044948312296528</v>
      </c>
      <c r="O61" s="14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spans="1:27" x14ac:dyDescent="0.25">
      <c r="A62" s="1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4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1:27" x14ac:dyDescent="0.25">
      <c r="A63" s="15" t="s">
        <v>56</v>
      </c>
      <c r="B63" s="8"/>
      <c r="C63" s="8"/>
      <c r="D63" s="8"/>
      <c r="E63" s="8"/>
      <c r="F63" s="8"/>
      <c r="G63" s="8"/>
      <c r="H63" s="8"/>
      <c r="I63" s="8">
        <v>1017</v>
      </c>
      <c r="J63" s="8">
        <v>840</v>
      </c>
      <c r="K63" s="8">
        <v>1238</v>
      </c>
      <c r="L63" s="8">
        <v>751</v>
      </c>
      <c r="M63" s="8">
        <v>575</v>
      </c>
      <c r="N63" s="52">
        <v>4420</v>
      </c>
      <c r="O63" s="14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spans="1:27" x14ac:dyDescent="0.25">
      <c r="A64" s="15" t="s">
        <v>57</v>
      </c>
      <c r="B64" s="8"/>
      <c r="C64" s="8"/>
      <c r="D64" s="8"/>
      <c r="E64" s="8"/>
      <c r="F64" s="8"/>
      <c r="G64" s="8"/>
      <c r="H64" s="8"/>
      <c r="I64" s="8">
        <v>353</v>
      </c>
      <c r="J64" s="8">
        <v>409</v>
      </c>
      <c r="K64" s="8">
        <v>427</v>
      </c>
      <c r="L64" s="8">
        <v>409</v>
      </c>
      <c r="M64" s="8">
        <v>260</v>
      </c>
      <c r="N64" s="52">
        <v>1858</v>
      </c>
      <c r="O64" s="14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spans="1:27" x14ac:dyDescent="0.25">
      <c r="A65" s="15" t="s">
        <v>58</v>
      </c>
      <c r="B65" s="54" t="s">
        <v>173</v>
      </c>
      <c r="C65" s="54" t="s">
        <v>174</v>
      </c>
      <c r="D65" s="54" t="s">
        <v>174</v>
      </c>
      <c r="E65" s="54" t="s">
        <v>174</v>
      </c>
      <c r="F65" s="54" t="s">
        <v>175</v>
      </c>
      <c r="G65" s="54" t="s">
        <v>174</v>
      </c>
      <c r="H65" s="54" t="s">
        <v>174</v>
      </c>
      <c r="I65" s="55">
        <v>1370</v>
      </c>
      <c r="J65" s="55">
        <v>1249</v>
      </c>
      <c r="K65" s="55">
        <v>1665</v>
      </c>
      <c r="L65" s="55">
        <v>1160</v>
      </c>
      <c r="M65" s="55">
        <v>835</v>
      </c>
      <c r="N65" s="55">
        <v>6278</v>
      </c>
      <c r="O65" s="14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spans="1:27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4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spans="1:27" x14ac:dyDescent="0.25">
      <c r="A67" s="15" t="s">
        <v>64</v>
      </c>
      <c r="B67" s="55">
        <v>15539</v>
      </c>
      <c r="C67" s="55">
        <v>16912</v>
      </c>
      <c r="D67" s="55">
        <v>15112</v>
      </c>
      <c r="E67" s="55">
        <v>14922</v>
      </c>
      <c r="F67" s="55">
        <v>18286</v>
      </c>
      <c r="G67" s="55">
        <v>16864</v>
      </c>
      <c r="H67" s="55">
        <v>16773</v>
      </c>
      <c r="I67" s="55">
        <v>22030</v>
      </c>
      <c r="J67" s="55">
        <v>21082</v>
      </c>
      <c r="K67" s="55">
        <v>24119</v>
      </c>
      <c r="L67" s="55">
        <v>25544</v>
      </c>
      <c r="M67" s="55">
        <v>20926</v>
      </c>
      <c r="N67" s="55">
        <v>228110</v>
      </c>
      <c r="O67" s="14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 spans="1:27" x14ac:dyDescent="0.25">
      <c r="A68" s="15" t="s">
        <v>65</v>
      </c>
      <c r="B68" s="55">
        <v>7247</v>
      </c>
      <c r="C68" s="55">
        <v>10401</v>
      </c>
      <c r="D68" s="55">
        <v>8984</v>
      </c>
      <c r="E68" s="55">
        <v>10153</v>
      </c>
      <c r="F68" s="55">
        <v>12665</v>
      </c>
      <c r="G68" s="55">
        <v>9786</v>
      </c>
      <c r="H68" s="55">
        <v>8622</v>
      </c>
      <c r="I68" s="55">
        <v>9445</v>
      </c>
      <c r="J68" s="55">
        <v>12370</v>
      </c>
      <c r="K68" s="55">
        <v>11498</v>
      </c>
      <c r="L68" s="55">
        <v>11926</v>
      </c>
      <c r="M68" s="55">
        <v>12068</v>
      </c>
      <c r="N68" s="55">
        <v>125165</v>
      </c>
      <c r="O68" s="14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 spans="1:27" x14ac:dyDescent="0.25">
      <c r="A69" s="59" t="s">
        <v>66</v>
      </c>
      <c r="B69" s="60">
        <f>B68/B22</f>
        <v>0.31803221134857595</v>
      </c>
      <c r="C69" s="60">
        <f t="shared" ref="C69:N69" si="5">C68/C22</f>
        <v>0.38080767400139126</v>
      </c>
      <c r="D69" s="60">
        <f t="shared" si="5"/>
        <v>0.37284196547144755</v>
      </c>
      <c r="E69" s="60">
        <f t="shared" si="5"/>
        <v>0.40490528414755733</v>
      </c>
      <c r="F69" s="60">
        <f t="shared" si="5"/>
        <v>0.40919517947723821</v>
      </c>
      <c r="G69" s="60">
        <f t="shared" si="5"/>
        <v>0.36720450281425893</v>
      </c>
      <c r="H69" s="60">
        <f t="shared" si="5"/>
        <v>0.33951565268753692</v>
      </c>
      <c r="I69" s="60">
        <f t="shared" si="5"/>
        <v>0.30008896231810384</v>
      </c>
      <c r="J69" s="60">
        <f t="shared" si="5"/>
        <v>0.36978357048905897</v>
      </c>
      <c r="K69" s="60">
        <f t="shared" si="5"/>
        <v>0.32282337086222873</v>
      </c>
      <c r="L69" s="60">
        <f t="shared" si="5"/>
        <v>0.31828129170002667</v>
      </c>
      <c r="M69" s="60">
        <f t="shared" si="5"/>
        <v>0.36576347214645089</v>
      </c>
      <c r="N69" s="60">
        <f t="shared" si="5"/>
        <v>0.35430006170847556</v>
      </c>
      <c r="O69" s="14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 spans="1:27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14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 spans="1:27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8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 spans="1:27" x14ac:dyDescent="0.25">
      <c r="A72" s="15" t="s">
        <v>67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 spans="1:27" x14ac:dyDescent="0.25">
      <c r="A73" s="15" t="s">
        <v>68</v>
      </c>
      <c r="B73" s="8">
        <v>250</v>
      </c>
      <c r="C73" s="21">
        <v>1931.2</v>
      </c>
      <c r="D73" s="8">
        <v>250</v>
      </c>
      <c r="E73" s="8">
        <v>250</v>
      </c>
      <c r="F73" s="8">
        <v>250</v>
      </c>
      <c r="G73" s="8">
        <v>250</v>
      </c>
      <c r="H73" s="8">
        <v>250</v>
      </c>
      <c r="I73" s="8">
        <v>399.43</v>
      </c>
      <c r="J73" s="8">
        <v>250</v>
      </c>
      <c r="K73" s="8">
        <v>250</v>
      </c>
      <c r="L73" s="8">
        <v>250</v>
      </c>
      <c r="M73" s="8">
        <v>250</v>
      </c>
      <c r="N73" s="21">
        <v>4830.63</v>
      </c>
      <c r="O73" s="8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 spans="1:27" x14ac:dyDescent="0.25">
      <c r="A74" s="15" t="s">
        <v>69</v>
      </c>
      <c r="B74" s="8"/>
      <c r="C74" s="8"/>
      <c r="D74" s="8">
        <v>200</v>
      </c>
      <c r="E74" s="8">
        <v>100</v>
      </c>
      <c r="F74" s="8">
        <v>250</v>
      </c>
      <c r="G74" s="8">
        <v>112.24</v>
      </c>
      <c r="H74" s="8"/>
      <c r="I74" s="8">
        <v>450</v>
      </c>
      <c r="J74" s="8">
        <v>50</v>
      </c>
      <c r="K74" s="8">
        <v>25</v>
      </c>
      <c r="L74" s="8"/>
      <c r="M74" s="8">
        <v>200</v>
      </c>
      <c r="N74" s="21">
        <v>1387.24</v>
      </c>
      <c r="O74" s="8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 spans="1:27" x14ac:dyDescent="0.25">
      <c r="A75" s="15" t="s">
        <v>70</v>
      </c>
      <c r="B75" s="8"/>
      <c r="C75" s="8"/>
      <c r="D75" s="8">
        <v>51.55</v>
      </c>
      <c r="E75" s="8">
        <v>58.65</v>
      </c>
      <c r="F75" s="8">
        <v>40.549999999999997</v>
      </c>
      <c r="G75" s="8">
        <v>76.55</v>
      </c>
      <c r="H75" s="8">
        <v>42.97</v>
      </c>
      <c r="I75" s="8">
        <v>86.55</v>
      </c>
      <c r="J75" s="8">
        <v>55.65</v>
      </c>
      <c r="K75" s="8">
        <v>44.55</v>
      </c>
      <c r="L75" s="8">
        <v>3.9</v>
      </c>
      <c r="M75" s="8"/>
      <c r="N75" s="8">
        <v>460.92</v>
      </c>
      <c r="O75" s="8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 spans="1:27" x14ac:dyDescent="0.25">
      <c r="A76" s="15" t="s">
        <v>71</v>
      </c>
      <c r="B76" s="8">
        <v>500</v>
      </c>
      <c r="C76" s="8">
        <v>500</v>
      </c>
      <c r="D76" s="8">
        <v>500</v>
      </c>
      <c r="E76" s="8">
        <v>500</v>
      </c>
      <c r="F76" s="8">
        <v>500</v>
      </c>
      <c r="G76" s="8">
        <v>500</v>
      </c>
      <c r="H76" s="8">
        <v>500</v>
      </c>
      <c r="I76" s="8">
        <v>752.41</v>
      </c>
      <c r="J76" s="8">
        <v>500</v>
      </c>
      <c r="K76" s="8">
        <v>500</v>
      </c>
      <c r="L76" s="8">
        <v>500</v>
      </c>
      <c r="M76" s="8">
        <v>500</v>
      </c>
      <c r="N76" s="21">
        <v>6252.41</v>
      </c>
      <c r="O76" s="8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 spans="1:27" x14ac:dyDescent="0.25">
      <c r="A77" s="15" t="s">
        <v>72</v>
      </c>
      <c r="B77" s="62">
        <v>750</v>
      </c>
      <c r="C77" s="62">
        <v>2431.1999999999998</v>
      </c>
      <c r="D77" s="62">
        <v>1001.55</v>
      </c>
      <c r="E77" s="62">
        <v>908.65</v>
      </c>
      <c r="F77" s="62">
        <v>1040.55</v>
      </c>
      <c r="G77" s="62">
        <v>938.79</v>
      </c>
      <c r="H77" s="62">
        <v>792.97</v>
      </c>
      <c r="I77" s="62">
        <v>1688.39</v>
      </c>
      <c r="J77" s="62">
        <v>855.65</v>
      </c>
      <c r="K77" s="62">
        <v>819.55</v>
      </c>
      <c r="L77" s="62">
        <v>753.9</v>
      </c>
      <c r="M77" s="62">
        <v>950</v>
      </c>
      <c r="N77" s="62">
        <v>12931.2</v>
      </c>
      <c r="O77" s="8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 spans="1:27" x14ac:dyDescent="0.25">
      <c r="A78" s="15" t="s">
        <v>73</v>
      </c>
      <c r="B78" s="8">
        <v>750</v>
      </c>
      <c r="C78" s="8">
        <v>750</v>
      </c>
      <c r="D78" s="8">
        <v>750</v>
      </c>
      <c r="E78" s="8">
        <v>750</v>
      </c>
      <c r="F78" s="8">
        <v>750</v>
      </c>
      <c r="G78" s="8">
        <v>750</v>
      </c>
      <c r="H78" s="8">
        <v>750</v>
      </c>
      <c r="I78" s="8">
        <v>750</v>
      </c>
      <c r="J78" s="8">
        <v>750</v>
      </c>
      <c r="K78" s="8">
        <v>750</v>
      </c>
      <c r="L78" s="8">
        <v>750</v>
      </c>
      <c r="M78" s="8">
        <v>826.42</v>
      </c>
      <c r="N78" s="21">
        <v>9076.42</v>
      </c>
      <c r="O78" s="8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 spans="1:27" x14ac:dyDescent="0.25">
      <c r="A79" s="15" t="s">
        <v>74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0</v>
      </c>
      <c r="O79" s="8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 spans="1:27" x14ac:dyDescent="0.25">
      <c r="A80" s="15" t="s">
        <v>75</v>
      </c>
      <c r="B80" s="8"/>
      <c r="C80" s="8"/>
      <c r="D80" s="8"/>
      <c r="E80" s="8"/>
      <c r="F80" s="8"/>
      <c r="G80" s="8">
        <v>97.96</v>
      </c>
      <c r="H80" s="8"/>
      <c r="I80" s="8"/>
      <c r="J80" s="8"/>
      <c r="K80" s="8"/>
      <c r="L80" s="8"/>
      <c r="M80" s="8"/>
      <c r="N80" s="8">
        <v>97.96</v>
      </c>
      <c r="O80" s="8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 spans="1:27" x14ac:dyDescent="0.25">
      <c r="A81" s="15" t="s">
        <v>76</v>
      </c>
      <c r="B81" s="8">
        <v>103.56</v>
      </c>
      <c r="C81" s="8">
        <v>106.46</v>
      </c>
      <c r="D81" s="8">
        <v>118.44</v>
      </c>
      <c r="E81" s="8">
        <v>165.13</v>
      </c>
      <c r="F81" s="8">
        <v>167.55</v>
      </c>
      <c r="G81" s="8">
        <v>163.69999999999999</v>
      </c>
      <c r="H81" s="8">
        <v>126.24</v>
      </c>
      <c r="I81" s="8">
        <v>93.22</v>
      </c>
      <c r="J81" s="8">
        <v>109.01</v>
      </c>
      <c r="K81" s="8">
        <v>135.97</v>
      </c>
      <c r="L81" s="8">
        <v>132.30000000000001</v>
      </c>
      <c r="M81" s="8">
        <v>145.02000000000001</v>
      </c>
      <c r="N81" s="21">
        <v>1566.6</v>
      </c>
      <c r="O81" s="8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 spans="1:27" x14ac:dyDescent="0.25">
      <c r="A82" s="15" t="s">
        <v>77</v>
      </c>
      <c r="B82" s="8">
        <v>5.37</v>
      </c>
      <c r="C82" s="8">
        <v>4.29</v>
      </c>
      <c r="D82" s="8">
        <v>8.0500000000000007</v>
      </c>
      <c r="E82" s="8"/>
      <c r="F82" s="8">
        <v>1.28</v>
      </c>
      <c r="G82" s="8">
        <v>6.45</v>
      </c>
      <c r="H82" s="8">
        <v>4.21</v>
      </c>
      <c r="I82" s="8">
        <v>6.89</v>
      </c>
      <c r="J82" s="8">
        <v>8.43</v>
      </c>
      <c r="K82" s="8">
        <v>4.3899999999999997</v>
      </c>
      <c r="L82" s="8"/>
      <c r="M82" s="8">
        <v>8.4499999999999993</v>
      </c>
      <c r="N82" s="8">
        <v>57.81</v>
      </c>
      <c r="O82" s="8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 spans="1:27" x14ac:dyDescent="0.25">
      <c r="A83" s="15" t="s">
        <v>78</v>
      </c>
      <c r="B83" s="8">
        <v>37.72</v>
      </c>
      <c r="C83" s="8">
        <v>45.04</v>
      </c>
      <c r="D83" s="8">
        <v>57.61</v>
      </c>
      <c r="E83" s="8">
        <v>66.67</v>
      </c>
      <c r="F83" s="8">
        <v>60.27</v>
      </c>
      <c r="G83" s="8">
        <v>53.63</v>
      </c>
      <c r="H83" s="8">
        <v>68.11</v>
      </c>
      <c r="I83" s="8">
        <v>95.96</v>
      </c>
      <c r="J83" s="8">
        <v>76.75</v>
      </c>
      <c r="K83" s="8">
        <v>110.66</v>
      </c>
      <c r="L83" s="8">
        <v>75.95</v>
      </c>
      <c r="M83" s="8">
        <v>74.930000000000007</v>
      </c>
      <c r="N83" s="8">
        <v>823.3</v>
      </c>
      <c r="O83" s="8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 spans="1:27" x14ac:dyDescent="0.25">
      <c r="A84" s="15" t="s">
        <v>79</v>
      </c>
      <c r="B84" s="8">
        <v>341.6</v>
      </c>
      <c r="C84" s="8">
        <v>434.18</v>
      </c>
      <c r="D84" s="8">
        <v>342.85</v>
      </c>
      <c r="E84" s="8">
        <v>287.10000000000002</v>
      </c>
      <c r="F84" s="8">
        <v>378.43</v>
      </c>
      <c r="G84" s="8">
        <v>313.27999999999997</v>
      </c>
      <c r="H84" s="8">
        <v>383.68</v>
      </c>
      <c r="I84" s="8">
        <v>497.99</v>
      </c>
      <c r="J84" s="8">
        <v>434.05</v>
      </c>
      <c r="K84" s="8">
        <v>455.43</v>
      </c>
      <c r="L84" s="8">
        <v>380.1</v>
      </c>
      <c r="M84" s="8">
        <v>361.43</v>
      </c>
      <c r="N84" s="21">
        <v>4610.12</v>
      </c>
      <c r="O84" s="8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 spans="1:27" x14ac:dyDescent="0.25">
      <c r="A85" s="15" t="s">
        <v>80</v>
      </c>
      <c r="B85" s="62">
        <v>488.25</v>
      </c>
      <c r="C85" s="62">
        <v>589.97</v>
      </c>
      <c r="D85" s="62">
        <v>526.95000000000005</v>
      </c>
      <c r="E85" s="62">
        <v>518.9</v>
      </c>
      <c r="F85" s="62">
        <v>607.53</v>
      </c>
      <c r="G85" s="62">
        <v>537.05999999999995</v>
      </c>
      <c r="H85" s="62">
        <v>582.24</v>
      </c>
      <c r="I85" s="62">
        <v>694.06</v>
      </c>
      <c r="J85" s="62">
        <v>628.24</v>
      </c>
      <c r="K85" s="62">
        <v>706.45</v>
      </c>
      <c r="L85" s="62">
        <v>588.35</v>
      </c>
      <c r="M85" s="62">
        <v>589.83000000000004</v>
      </c>
      <c r="N85" s="62">
        <v>7057.83</v>
      </c>
      <c r="O85" s="8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 spans="1:27" x14ac:dyDescent="0.25">
      <c r="A86" s="15" t="s">
        <v>81</v>
      </c>
      <c r="B86" s="8"/>
      <c r="C86" s="8"/>
      <c r="D86" s="8"/>
      <c r="E86" s="8"/>
      <c r="F86" s="8"/>
      <c r="G86" s="8">
        <v>74</v>
      </c>
      <c r="H86" s="8"/>
      <c r="I86" s="8"/>
      <c r="J86" s="8"/>
      <c r="K86" s="8"/>
      <c r="L86" s="8"/>
      <c r="M86" s="8">
        <v>100</v>
      </c>
      <c r="N86" s="8">
        <v>174</v>
      </c>
      <c r="O86" s="14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 spans="1:27" x14ac:dyDescent="0.25">
      <c r="A87" s="15" t="s">
        <v>82</v>
      </c>
      <c r="B87" s="8">
        <v>17.32</v>
      </c>
      <c r="C87" s="8">
        <v>29.63</v>
      </c>
      <c r="D87" s="8">
        <v>9.66</v>
      </c>
      <c r="E87" s="8">
        <v>151.71</v>
      </c>
      <c r="F87" s="8">
        <v>76.55</v>
      </c>
      <c r="G87" s="8">
        <v>42.97</v>
      </c>
      <c r="H87" s="8">
        <v>86.55</v>
      </c>
      <c r="I87" s="8">
        <v>29.15</v>
      </c>
      <c r="J87" s="8">
        <v>2</v>
      </c>
      <c r="K87" s="8">
        <v>44.21</v>
      </c>
      <c r="L87" s="8">
        <v>56.25</v>
      </c>
      <c r="M87" s="8">
        <v>128.94</v>
      </c>
      <c r="N87" s="8">
        <v>674.94</v>
      </c>
      <c r="O87" s="8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 spans="1:27" x14ac:dyDescent="0.25">
      <c r="A88" s="15" t="s">
        <v>83</v>
      </c>
      <c r="B88" s="8">
        <v>110</v>
      </c>
      <c r="C88" s="8"/>
      <c r="D88" s="8">
        <v>168.98</v>
      </c>
      <c r="E88" s="8">
        <v>261.29000000000002</v>
      </c>
      <c r="F88" s="8"/>
      <c r="G88" s="8"/>
      <c r="H88" s="8"/>
      <c r="I88" s="8"/>
      <c r="J88" s="8">
        <v>187.75</v>
      </c>
      <c r="K88" s="8"/>
      <c r="L88" s="8">
        <v>36</v>
      </c>
      <c r="M88" s="8"/>
      <c r="N88" s="8">
        <v>764.02</v>
      </c>
      <c r="O88" s="8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 spans="1:27" x14ac:dyDescent="0.25">
      <c r="A89" s="15" t="s">
        <v>84</v>
      </c>
      <c r="B89" s="8"/>
      <c r="C89" s="8"/>
      <c r="D89" s="8"/>
      <c r="E89" s="8"/>
      <c r="F89" s="8"/>
      <c r="G89" s="8"/>
      <c r="H89" s="8">
        <v>26.13</v>
      </c>
      <c r="I89" s="8"/>
      <c r="J89" s="8"/>
      <c r="K89" s="8"/>
      <c r="L89" s="8"/>
      <c r="M89" s="8"/>
      <c r="N89" s="8">
        <v>26.13</v>
      </c>
      <c r="O89" s="8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 spans="1:27" x14ac:dyDescent="0.25">
      <c r="A90" s="15" t="s">
        <v>85</v>
      </c>
      <c r="B90" s="8">
        <v>175</v>
      </c>
      <c r="C90" s="8">
        <v>175</v>
      </c>
      <c r="D90" s="8">
        <v>393.84</v>
      </c>
      <c r="E90" s="8">
        <v>175</v>
      </c>
      <c r="F90" s="8">
        <v>175</v>
      </c>
      <c r="G90" s="8">
        <v>175</v>
      </c>
      <c r="H90" s="8">
        <v>175</v>
      </c>
      <c r="I90" s="8">
        <v>175</v>
      </c>
      <c r="J90" s="8">
        <v>175</v>
      </c>
      <c r="K90" s="8">
        <v>175</v>
      </c>
      <c r="L90" s="8">
        <v>175</v>
      </c>
      <c r="M90" s="8">
        <v>175</v>
      </c>
      <c r="N90" s="21">
        <v>2318.84</v>
      </c>
      <c r="O90" s="8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 spans="1:27" x14ac:dyDescent="0.25">
      <c r="A91" s="15" t="s">
        <v>86</v>
      </c>
      <c r="B91" s="8">
        <v>91.66</v>
      </c>
      <c r="C91" s="8">
        <v>91.66</v>
      </c>
      <c r="D91" s="8">
        <v>91.66</v>
      </c>
      <c r="E91" s="8">
        <v>91.66</v>
      </c>
      <c r="F91" s="8">
        <v>91.66</v>
      </c>
      <c r="G91" s="8">
        <v>91.66</v>
      </c>
      <c r="H91" s="8">
        <v>91.66</v>
      </c>
      <c r="I91" s="8">
        <v>123.25</v>
      </c>
      <c r="J91" s="8">
        <v>91.66</v>
      </c>
      <c r="K91" s="8">
        <v>91.66</v>
      </c>
      <c r="L91" s="8">
        <v>91.66</v>
      </c>
      <c r="M91" s="8">
        <v>91.66</v>
      </c>
      <c r="N91" s="21">
        <v>1131.51</v>
      </c>
      <c r="O91" s="8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 spans="1:27" x14ac:dyDescent="0.25">
      <c r="A92" s="15" t="s">
        <v>87</v>
      </c>
      <c r="B92" s="8">
        <v>1.07</v>
      </c>
      <c r="C92" s="8">
        <v>2.0499999999999998</v>
      </c>
      <c r="D92" s="8">
        <v>20.07</v>
      </c>
      <c r="E92" s="8">
        <v>7.06</v>
      </c>
      <c r="F92" s="8">
        <v>22.14</v>
      </c>
      <c r="G92" s="8">
        <v>30.04</v>
      </c>
      <c r="H92" s="8">
        <v>5.56</v>
      </c>
      <c r="I92" s="8">
        <v>4.87</v>
      </c>
      <c r="J92" s="8">
        <v>51.55</v>
      </c>
      <c r="K92" s="8">
        <v>58.65</v>
      </c>
      <c r="L92" s="8">
        <v>40.549999999999997</v>
      </c>
      <c r="M92" s="21">
        <v>1958.45</v>
      </c>
      <c r="N92" s="21">
        <v>2202.06</v>
      </c>
      <c r="O92" s="8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 spans="1:27" x14ac:dyDescent="0.25">
      <c r="A93" s="15" t="s">
        <v>88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0</v>
      </c>
      <c r="O93" s="8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 spans="1:27" x14ac:dyDescent="0.25">
      <c r="A94" s="15" t="s">
        <v>89</v>
      </c>
      <c r="B94" s="8"/>
      <c r="C94" s="8"/>
      <c r="D94" s="8"/>
      <c r="E94" s="8"/>
      <c r="F94" s="21">
        <v>1700</v>
      </c>
      <c r="G94" s="8"/>
      <c r="H94" s="8"/>
      <c r="I94" s="8">
        <v>131.05000000000001</v>
      </c>
      <c r="J94" s="8"/>
      <c r="K94" s="8"/>
      <c r="L94" s="8"/>
      <c r="M94" s="8"/>
      <c r="N94" s="21">
        <v>1831.05</v>
      </c>
      <c r="O94" s="8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 spans="1:27" x14ac:dyDescent="0.25">
      <c r="A95" s="15" t="s">
        <v>90</v>
      </c>
      <c r="B95" s="8">
        <v>257.54000000000002</v>
      </c>
      <c r="C95" s="8">
        <v>659.94</v>
      </c>
      <c r="D95" s="8">
        <v>808.54</v>
      </c>
      <c r="E95" s="8">
        <v>363.98</v>
      </c>
      <c r="F95" s="8">
        <v>409.63</v>
      </c>
      <c r="G95" s="8">
        <v>245.29</v>
      </c>
      <c r="H95" s="8">
        <v>381.06</v>
      </c>
      <c r="I95" s="8">
        <v>289.06</v>
      </c>
      <c r="J95" s="8">
        <v>276.48</v>
      </c>
      <c r="K95" s="8">
        <v>276.06</v>
      </c>
      <c r="L95" s="8">
        <v>275.38</v>
      </c>
      <c r="M95" s="8">
        <v>200.19</v>
      </c>
      <c r="N95" s="21">
        <v>4443.1499999999996</v>
      </c>
      <c r="O95" s="8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 spans="1:27" x14ac:dyDescent="0.25">
      <c r="A96" s="15" t="s">
        <v>91</v>
      </c>
      <c r="B96" s="8"/>
      <c r="C96" s="8"/>
      <c r="D96" s="8"/>
      <c r="E96" s="8"/>
      <c r="F96" s="8">
        <v>150.22</v>
      </c>
      <c r="G96" s="8"/>
      <c r="H96" s="8"/>
      <c r="I96" s="8"/>
      <c r="J96" s="8"/>
      <c r="K96" s="8"/>
      <c r="L96" s="8"/>
      <c r="M96" s="8"/>
      <c r="N96" s="8">
        <v>150.22</v>
      </c>
      <c r="O96" s="8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 spans="1:27" x14ac:dyDescent="0.25">
      <c r="A97" s="15" t="s">
        <v>92</v>
      </c>
      <c r="B97" s="62">
        <v>257.54000000000002</v>
      </c>
      <c r="C97" s="62">
        <v>659.94</v>
      </c>
      <c r="D97" s="62">
        <v>808.54</v>
      </c>
      <c r="E97" s="62">
        <v>363.98</v>
      </c>
      <c r="F97" s="62">
        <v>2259.85</v>
      </c>
      <c r="G97" s="62">
        <v>245.29</v>
      </c>
      <c r="H97" s="62">
        <v>381.06</v>
      </c>
      <c r="I97" s="62">
        <v>420.11</v>
      </c>
      <c r="J97" s="62">
        <v>276.48</v>
      </c>
      <c r="K97" s="62">
        <v>276.06</v>
      </c>
      <c r="L97" s="62">
        <v>275.38</v>
      </c>
      <c r="M97" s="62">
        <v>200.19</v>
      </c>
      <c r="N97" s="62">
        <v>6424.42</v>
      </c>
      <c r="O97" s="8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 spans="1:27" x14ac:dyDescent="0.25">
      <c r="A98" s="15" t="s">
        <v>93</v>
      </c>
      <c r="B98" s="8">
        <v>100</v>
      </c>
      <c r="C98" s="8">
        <v>100</v>
      </c>
      <c r="D98" s="8">
        <v>310.24</v>
      </c>
      <c r="E98" s="8">
        <v>100</v>
      </c>
      <c r="F98" s="8">
        <v>100</v>
      </c>
      <c r="G98" s="8">
        <v>100</v>
      </c>
      <c r="H98" s="8">
        <v>100</v>
      </c>
      <c r="I98" s="8">
        <v>100</v>
      </c>
      <c r="J98" s="8">
        <v>100</v>
      </c>
      <c r="K98" s="8">
        <v>100</v>
      </c>
      <c r="L98" s="8">
        <v>100</v>
      </c>
      <c r="M98" s="8">
        <v>202.09</v>
      </c>
      <c r="N98" s="21">
        <v>1512.33</v>
      </c>
      <c r="O98" s="14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 spans="1:27" x14ac:dyDescent="0.25">
      <c r="A99" s="15" t="s">
        <v>94</v>
      </c>
      <c r="B99" s="8"/>
      <c r="C99" s="8"/>
      <c r="D99" s="8"/>
      <c r="E99" s="8"/>
      <c r="F99" s="8">
        <v>179.66</v>
      </c>
      <c r="G99" s="8"/>
      <c r="H99" s="8"/>
      <c r="I99" s="8"/>
      <c r="J99" s="8"/>
      <c r="K99" s="8"/>
      <c r="L99" s="8"/>
      <c r="M99" s="8"/>
      <c r="N99" s="8">
        <v>179.66</v>
      </c>
      <c r="O99" s="14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 spans="1:27" x14ac:dyDescent="0.25">
      <c r="A100" s="15" t="s">
        <v>95</v>
      </c>
      <c r="B100" s="8">
        <v>75.3</v>
      </c>
      <c r="C100" s="8">
        <v>22.85</v>
      </c>
      <c r="D100" s="8">
        <v>106.12</v>
      </c>
      <c r="E100" s="8">
        <v>107.83</v>
      </c>
      <c r="F100" s="8">
        <v>175.05</v>
      </c>
      <c r="G100" s="8">
        <v>90.05</v>
      </c>
      <c r="H100" s="8">
        <v>101.23</v>
      </c>
      <c r="I100" s="8">
        <v>136.94</v>
      </c>
      <c r="J100" s="8">
        <v>121.28</v>
      </c>
      <c r="K100" s="8">
        <v>181.91</v>
      </c>
      <c r="L100" s="8">
        <v>192.41</v>
      </c>
      <c r="M100" s="8">
        <v>148.4</v>
      </c>
      <c r="N100" s="21">
        <v>1459.33</v>
      </c>
      <c r="O100" s="14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 spans="1:27" x14ac:dyDescent="0.25">
      <c r="A101" s="15" t="s">
        <v>96</v>
      </c>
      <c r="B101" s="8">
        <v>428.76</v>
      </c>
      <c r="C101" s="8">
        <v>457.94</v>
      </c>
      <c r="D101" s="8">
        <v>505.56</v>
      </c>
      <c r="E101" s="8">
        <v>539.97</v>
      </c>
      <c r="F101" s="8">
        <v>497.88</v>
      </c>
      <c r="G101" s="8">
        <v>455.6</v>
      </c>
      <c r="H101" s="8">
        <v>447.19</v>
      </c>
      <c r="I101" s="8">
        <v>543.97</v>
      </c>
      <c r="J101" s="8">
        <v>559.33000000000004</v>
      </c>
      <c r="K101" s="8">
        <v>592.37</v>
      </c>
      <c r="L101" s="8">
        <v>574.14</v>
      </c>
      <c r="M101" s="8">
        <v>459.48</v>
      </c>
      <c r="N101" s="21">
        <v>6062.19</v>
      </c>
      <c r="O101" s="14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 spans="1:27" x14ac:dyDescent="0.25">
      <c r="A102" s="15" t="s">
        <v>97</v>
      </c>
      <c r="B102" s="62">
        <v>504.06</v>
      </c>
      <c r="C102" s="62">
        <v>480.79</v>
      </c>
      <c r="D102" s="62">
        <v>611.67999999999995</v>
      </c>
      <c r="E102" s="62">
        <v>647.79999999999995</v>
      </c>
      <c r="F102" s="62">
        <v>852.59</v>
      </c>
      <c r="G102" s="62">
        <v>545.65</v>
      </c>
      <c r="H102" s="62">
        <v>548.41999999999996</v>
      </c>
      <c r="I102" s="62">
        <v>680.91</v>
      </c>
      <c r="J102" s="62">
        <v>680.61</v>
      </c>
      <c r="K102" s="62">
        <v>774.28</v>
      </c>
      <c r="L102" s="62">
        <v>766.55</v>
      </c>
      <c r="M102" s="62">
        <v>607.88</v>
      </c>
      <c r="N102" s="62">
        <v>7701.18</v>
      </c>
      <c r="O102" s="14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 spans="1:27" x14ac:dyDescent="0.25">
      <c r="A103" s="15" t="s">
        <v>98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0</v>
      </c>
      <c r="O103" s="8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 spans="1:27" x14ac:dyDescent="0.25">
      <c r="A104" s="15" t="s">
        <v>99</v>
      </c>
      <c r="B104" s="21">
        <v>1618.95</v>
      </c>
      <c r="C104" s="21">
        <v>1618.95</v>
      </c>
      <c r="D104" s="21">
        <v>1618.95</v>
      </c>
      <c r="E104" s="21">
        <v>1618.95</v>
      </c>
      <c r="F104" s="21">
        <v>1618.95</v>
      </c>
      <c r="G104" s="21">
        <v>1618.95</v>
      </c>
      <c r="H104" s="21">
        <v>1618.95</v>
      </c>
      <c r="I104" s="21">
        <v>2218.98</v>
      </c>
      <c r="J104" s="21">
        <v>1618.95</v>
      </c>
      <c r="K104" s="21">
        <v>1618.95</v>
      </c>
      <c r="L104" s="21">
        <v>1618.95</v>
      </c>
      <c r="M104" s="21">
        <v>2218.98</v>
      </c>
      <c r="N104" s="21">
        <v>20627.46</v>
      </c>
      <c r="O104" s="14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 spans="1:27" x14ac:dyDescent="0.25">
      <c r="A105" s="15" t="s">
        <v>100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4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 spans="1:27" x14ac:dyDescent="0.25">
      <c r="A106" s="15" t="s">
        <v>101</v>
      </c>
      <c r="B106" s="21">
        <v>1400</v>
      </c>
      <c r="C106" s="21">
        <v>1400</v>
      </c>
      <c r="D106" s="21">
        <v>1400</v>
      </c>
      <c r="E106" s="21">
        <v>1900</v>
      </c>
      <c r="F106" s="21">
        <v>1400</v>
      </c>
      <c r="G106" s="21">
        <v>1400</v>
      </c>
      <c r="H106" s="21">
        <v>1400</v>
      </c>
      <c r="I106" s="21">
        <v>1400</v>
      </c>
      <c r="J106" s="21">
        <v>1581.37</v>
      </c>
      <c r="K106" s="21">
        <v>1400</v>
      </c>
      <c r="L106" s="21">
        <v>1400</v>
      </c>
      <c r="M106" s="21">
        <v>1400</v>
      </c>
      <c r="N106" s="21">
        <v>17481.37</v>
      </c>
      <c r="O106" s="14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 spans="1:27" x14ac:dyDescent="0.25">
      <c r="A107" s="15" t="s">
        <v>102</v>
      </c>
      <c r="B107" s="8"/>
      <c r="C107" s="8"/>
      <c r="D107" s="8"/>
      <c r="E107" s="8"/>
      <c r="F107" s="8">
        <v>50</v>
      </c>
      <c r="G107" s="8"/>
      <c r="H107" s="8"/>
      <c r="I107" s="8">
        <v>50</v>
      </c>
      <c r="J107" s="8">
        <v>16</v>
      </c>
      <c r="K107" s="8"/>
      <c r="L107" s="8"/>
      <c r="M107" s="8"/>
      <c r="N107" s="8">
        <v>116</v>
      </c>
      <c r="O107" s="14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 spans="1:27" x14ac:dyDescent="0.25">
      <c r="A108" s="15" t="s">
        <v>103</v>
      </c>
      <c r="B108" s="8">
        <v>178.33</v>
      </c>
      <c r="C108" s="8">
        <v>178.33</v>
      </c>
      <c r="D108" s="8">
        <v>178.33</v>
      </c>
      <c r="E108" s="8">
        <v>178.33</v>
      </c>
      <c r="F108" s="8">
        <v>178.33</v>
      </c>
      <c r="G108" s="8">
        <v>178.33</v>
      </c>
      <c r="H108" s="8">
        <v>178.33</v>
      </c>
      <c r="I108" s="8">
        <v>178.33</v>
      </c>
      <c r="J108" s="8">
        <v>178.33</v>
      </c>
      <c r="K108" s="8">
        <v>178.33</v>
      </c>
      <c r="L108" s="8">
        <v>178.33</v>
      </c>
      <c r="M108" s="8">
        <v>178.33</v>
      </c>
      <c r="N108" s="21">
        <v>2139.96</v>
      </c>
      <c r="O108" s="14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spans="1:27" x14ac:dyDescent="0.25">
      <c r="A109" s="15" t="s">
        <v>104</v>
      </c>
      <c r="B109" s="62">
        <v>3197.28</v>
      </c>
      <c r="C109" s="62">
        <v>3197.28</v>
      </c>
      <c r="D109" s="62">
        <v>3197.28</v>
      </c>
      <c r="E109" s="62">
        <v>3697.28</v>
      </c>
      <c r="F109" s="62">
        <v>3247.28</v>
      </c>
      <c r="G109" s="62">
        <v>3197.28</v>
      </c>
      <c r="H109" s="62">
        <v>3197.28</v>
      </c>
      <c r="I109" s="62">
        <v>3847.31</v>
      </c>
      <c r="J109" s="62">
        <v>3394.65</v>
      </c>
      <c r="K109" s="62">
        <v>3197.28</v>
      </c>
      <c r="L109" s="62">
        <v>3197.28</v>
      </c>
      <c r="M109" s="62">
        <v>3797.31</v>
      </c>
      <c r="N109" s="62">
        <v>40364.79</v>
      </c>
      <c r="O109" s="14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 spans="1:27" x14ac:dyDescent="0.25">
      <c r="A110" s="15" t="s">
        <v>105</v>
      </c>
      <c r="B110" s="8"/>
      <c r="C110" s="8"/>
      <c r="D110" s="8"/>
      <c r="E110" s="8"/>
      <c r="F110" s="8"/>
      <c r="G110" s="8">
        <v>120</v>
      </c>
      <c r="H110" s="8"/>
      <c r="I110" s="8"/>
      <c r="J110" s="8">
        <v>54</v>
      </c>
      <c r="K110" s="8"/>
      <c r="L110" s="8"/>
      <c r="M110" s="8"/>
      <c r="N110" s="8">
        <v>174</v>
      </c>
      <c r="O110" s="14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 spans="1:27" x14ac:dyDescent="0.25">
      <c r="A111" s="15" t="s">
        <v>106</v>
      </c>
      <c r="B111" s="8"/>
      <c r="C111" s="8"/>
      <c r="D111" s="21">
        <v>1374.46</v>
      </c>
      <c r="E111" s="8"/>
      <c r="F111" s="8"/>
      <c r="G111" s="8"/>
      <c r="H111" s="8"/>
      <c r="I111" s="8">
        <v>226.99</v>
      </c>
      <c r="J111" s="8"/>
      <c r="K111" s="8"/>
      <c r="L111" s="8"/>
      <c r="M111" s="8"/>
      <c r="N111" s="21">
        <v>1601.45</v>
      </c>
      <c r="O111" s="14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 spans="1:27" x14ac:dyDescent="0.25">
      <c r="A112" s="15" t="s">
        <v>107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0</v>
      </c>
      <c r="O112" s="14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 spans="1:27" x14ac:dyDescent="0.25">
      <c r="A113" s="15" t="s">
        <v>108</v>
      </c>
      <c r="B113" s="8">
        <v>935</v>
      </c>
      <c r="C113" s="8">
        <v>935</v>
      </c>
      <c r="D113" s="8">
        <v>935</v>
      </c>
      <c r="E113" s="8">
        <v>935</v>
      </c>
      <c r="F113" s="8">
        <v>935</v>
      </c>
      <c r="G113" s="8">
        <v>935</v>
      </c>
      <c r="H113" s="8">
        <v>935</v>
      </c>
      <c r="I113" s="8">
        <v>935</v>
      </c>
      <c r="J113" s="8">
        <v>946.9</v>
      </c>
      <c r="K113" s="8">
        <v>935</v>
      </c>
      <c r="L113" s="8">
        <v>935</v>
      </c>
      <c r="M113" s="8">
        <v>935</v>
      </c>
      <c r="N113" s="21">
        <v>11231.9</v>
      </c>
      <c r="O113" s="14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 spans="1:27" x14ac:dyDescent="0.25">
      <c r="A114" s="15" t="s">
        <v>109</v>
      </c>
      <c r="B114" s="8">
        <v>134.32</v>
      </c>
      <c r="C114" s="8">
        <v>47.81</v>
      </c>
      <c r="D114" s="8">
        <v>116.59</v>
      </c>
      <c r="E114" s="8">
        <v>66.67</v>
      </c>
      <c r="F114" s="8">
        <v>60.27</v>
      </c>
      <c r="G114" s="8">
        <v>71.03</v>
      </c>
      <c r="H114" s="8">
        <v>68.11</v>
      </c>
      <c r="I114" s="8">
        <v>95.96</v>
      </c>
      <c r="J114" s="8">
        <v>364.51</v>
      </c>
      <c r="K114" s="8">
        <v>10.66</v>
      </c>
      <c r="L114" s="8">
        <v>75.95</v>
      </c>
      <c r="M114" s="8">
        <v>74.930000000000007</v>
      </c>
      <c r="N114" s="21">
        <v>1186.81</v>
      </c>
      <c r="O114" s="14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 spans="1:27" x14ac:dyDescent="0.25">
      <c r="A115" s="15" t="s">
        <v>110</v>
      </c>
      <c r="B115" s="8"/>
      <c r="C115" s="8"/>
      <c r="D115" s="8"/>
      <c r="E115" s="8"/>
      <c r="F115" s="8">
        <v>66.22</v>
      </c>
      <c r="G115" s="8"/>
      <c r="H115" s="8"/>
      <c r="I115" s="8"/>
      <c r="J115" s="8"/>
      <c r="K115" s="8"/>
      <c r="L115" s="8"/>
      <c r="M115" s="8"/>
      <c r="N115" s="8">
        <v>66.22</v>
      </c>
      <c r="O115" s="14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 spans="1:27" x14ac:dyDescent="0.25">
      <c r="A116" s="15" t="s">
        <v>111</v>
      </c>
      <c r="B116" s="8"/>
      <c r="C116" s="8"/>
      <c r="D116" s="8"/>
      <c r="E116" s="8">
        <v>48.45</v>
      </c>
      <c r="F116" s="8"/>
      <c r="G116" s="8"/>
      <c r="H116" s="8">
        <v>110.55</v>
      </c>
      <c r="I116" s="8"/>
      <c r="J116" s="8"/>
      <c r="K116" s="8">
        <v>109.88</v>
      </c>
      <c r="L116" s="8"/>
      <c r="M116" s="8"/>
      <c r="N116" s="8">
        <v>268.88</v>
      </c>
      <c r="O116" s="14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 spans="1:27" x14ac:dyDescent="0.25">
      <c r="A117" s="15" t="s">
        <v>112</v>
      </c>
      <c r="B117" s="62">
        <v>134.32</v>
      </c>
      <c r="C117" s="62">
        <v>47.81</v>
      </c>
      <c r="D117" s="62">
        <v>116.59</v>
      </c>
      <c r="E117" s="62">
        <v>115.12</v>
      </c>
      <c r="F117" s="62">
        <v>126.49</v>
      </c>
      <c r="G117" s="62">
        <v>71.03</v>
      </c>
      <c r="H117" s="62">
        <v>178.66</v>
      </c>
      <c r="I117" s="62">
        <v>95.96</v>
      </c>
      <c r="J117" s="62">
        <v>364.51</v>
      </c>
      <c r="K117" s="62">
        <v>120.54</v>
      </c>
      <c r="L117" s="62">
        <v>75.95</v>
      </c>
      <c r="M117" s="62">
        <v>74.930000000000007</v>
      </c>
      <c r="N117" s="62">
        <v>1521.91</v>
      </c>
      <c r="O117" s="14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 spans="1:27" x14ac:dyDescent="0.25">
      <c r="A118" s="15" t="s">
        <v>113</v>
      </c>
      <c r="B118" s="8"/>
      <c r="C118" s="8"/>
      <c r="D118" s="8"/>
      <c r="E118" s="8">
        <v>30</v>
      </c>
      <c r="F118" s="8"/>
      <c r="G118" s="8"/>
      <c r="H118" s="8"/>
      <c r="I118" s="8"/>
      <c r="J118" s="8"/>
      <c r="K118" s="8"/>
      <c r="L118" s="8">
        <v>31.97</v>
      </c>
      <c r="M118" s="8"/>
      <c r="N118" s="8">
        <v>61.97</v>
      </c>
      <c r="O118" s="14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 spans="1:27" x14ac:dyDescent="0.25">
      <c r="A119" s="15" t="s">
        <v>114</v>
      </c>
      <c r="B119" s="8"/>
      <c r="C119" s="8">
        <v>323.98</v>
      </c>
      <c r="D119" s="8"/>
      <c r="E119" s="8"/>
      <c r="F119" s="8"/>
      <c r="G119" s="8"/>
      <c r="H119" s="8">
        <v>369.19</v>
      </c>
      <c r="I119" s="8"/>
      <c r="J119" s="8"/>
      <c r="K119" s="14"/>
      <c r="L119" s="8"/>
      <c r="M119" s="8">
        <v>975.53</v>
      </c>
      <c r="N119" s="21">
        <v>1668.7</v>
      </c>
      <c r="O119" s="14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 spans="1:27" x14ac:dyDescent="0.25">
      <c r="A120" s="15" t="s">
        <v>115</v>
      </c>
      <c r="B120" s="8"/>
      <c r="C120" s="8"/>
      <c r="D120" s="8"/>
      <c r="E120" s="8"/>
      <c r="F120" s="8"/>
      <c r="G120" s="8"/>
      <c r="H120" s="8"/>
      <c r="I120" s="8"/>
      <c r="J120" s="8"/>
      <c r="K120" s="14"/>
      <c r="L120" s="8"/>
      <c r="M120" s="8">
        <v>581.70000000000005</v>
      </c>
      <c r="N120" s="8">
        <v>581.70000000000005</v>
      </c>
      <c r="O120" s="14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 spans="1:27" x14ac:dyDescent="0.25">
      <c r="A121" s="15" t="s">
        <v>116</v>
      </c>
      <c r="B121" s="62">
        <v>0</v>
      </c>
      <c r="C121" s="62">
        <v>323.98</v>
      </c>
      <c r="D121" s="62">
        <v>0</v>
      </c>
      <c r="E121" s="62">
        <v>0</v>
      </c>
      <c r="F121" s="62">
        <v>0</v>
      </c>
      <c r="G121" s="62">
        <v>0</v>
      </c>
      <c r="H121" s="62">
        <v>369.19</v>
      </c>
      <c r="I121" s="62">
        <v>0</v>
      </c>
      <c r="J121" s="62">
        <v>0</v>
      </c>
      <c r="K121" s="62">
        <v>0</v>
      </c>
      <c r="L121" s="62">
        <v>0</v>
      </c>
      <c r="M121" s="62">
        <v>1557.23</v>
      </c>
      <c r="N121" s="62">
        <v>2250.4</v>
      </c>
      <c r="O121" s="14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 spans="1:27" x14ac:dyDescent="0.25">
      <c r="A122" s="15" t="s">
        <v>117</v>
      </c>
      <c r="B122" s="8">
        <v>12.57</v>
      </c>
      <c r="C122" s="8">
        <v>15.01</v>
      </c>
      <c r="D122" s="8">
        <v>19.2</v>
      </c>
      <c r="E122" s="8">
        <v>22.22</v>
      </c>
      <c r="F122" s="8"/>
      <c r="G122" s="8">
        <v>17.87</v>
      </c>
      <c r="H122" s="8">
        <v>27.7</v>
      </c>
      <c r="I122" s="8">
        <v>31.98</v>
      </c>
      <c r="J122" s="8">
        <v>25.58</v>
      </c>
      <c r="K122" s="8">
        <v>36.880000000000003</v>
      </c>
      <c r="L122" s="8">
        <v>25.39</v>
      </c>
      <c r="M122" s="8">
        <v>24.97</v>
      </c>
      <c r="N122" s="8">
        <v>259.37</v>
      </c>
      <c r="O122" s="14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 spans="1:27" x14ac:dyDescent="0.25">
      <c r="A123" s="15" t="s">
        <v>118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0</v>
      </c>
      <c r="O123" s="14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 spans="1:27" x14ac:dyDescent="0.25">
      <c r="A124" s="15" t="s">
        <v>119</v>
      </c>
      <c r="B124" s="8"/>
      <c r="C124" s="8"/>
      <c r="D124" s="8"/>
      <c r="E124" s="8">
        <v>690.05</v>
      </c>
      <c r="F124" s="8"/>
      <c r="G124" s="8"/>
      <c r="H124" s="8"/>
      <c r="I124" s="8">
        <v>36.869999999999997</v>
      </c>
      <c r="J124" s="8"/>
      <c r="K124" s="8"/>
      <c r="L124" s="8"/>
      <c r="M124" s="8"/>
      <c r="N124" s="8">
        <v>726.92</v>
      </c>
      <c r="O124" s="14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 spans="1:27" x14ac:dyDescent="0.25">
      <c r="A125" s="15" t="s">
        <v>120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>
        <v>0</v>
      </c>
      <c r="O125" s="14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 spans="1:27" x14ac:dyDescent="0.25">
      <c r="A126" s="15" t="s">
        <v>121</v>
      </c>
      <c r="B126" s="8">
        <v>89.6</v>
      </c>
      <c r="C126" s="8">
        <v>89.6</v>
      </c>
      <c r="D126" s="8">
        <v>89.6</v>
      </c>
      <c r="E126" s="8">
        <v>89.6</v>
      </c>
      <c r="F126" s="8">
        <v>89.6</v>
      </c>
      <c r="G126" s="8">
        <v>89.6</v>
      </c>
      <c r="H126" s="8">
        <v>89.6</v>
      </c>
      <c r="I126" s="8">
        <v>89.6</v>
      </c>
      <c r="J126" s="8">
        <v>89.6</v>
      </c>
      <c r="K126" s="8">
        <v>109.52</v>
      </c>
      <c r="L126" s="8">
        <v>89.6</v>
      </c>
      <c r="M126" s="8">
        <v>89.6</v>
      </c>
      <c r="N126" s="21">
        <v>1095.1199999999999</v>
      </c>
      <c r="O126" s="14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 spans="1:27" x14ac:dyDescent="0.25">
      <c r="A127" s="15" t="s">
        <v>122</v>
      </c>
      <c r="B127" s="8">
        <v>133.56</v>
      </c>
      <c r="C127" s="8">
        <v>136.46</v>
      </c>
      <c r="D127" s="8">
        <v>138.44</v>
      </c>
      <c r="E127" s="8">
        <v>115.13</v>
      </c>
      <c r="F127" s="8">
        <v>147.55000000000001</v>
      </c>
      <c r="G127" s="8">
        <v>163.69999999999999</v>
      </c>
      <c r="H127" s="8">
        <v>146.24</v>
      </c>
      <c r="I127" s="8">
        <v>193.22</v>
      </c>
      <c r="J127" s="8">
        <v>159.01</v>
      </c>
      <c r="K127" s="8">
        <v>175.97</v>
      </c>
      <c r="L127" s="8">
        <v>182.3</v>
      </c>
      <c r="M127" s="8">
        <v>151.06</v>
      </c>
      <c r="N127" s="21">
        <v>1842.64</v>
      </c>
      <c r="O127" s="14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spans="1:27" x14ac:dyDescent="0.25">
      <c r="A128" s="15" t="s">
        <v>123</v>
      </c>
      <c r="B128" s="8">
        <v>153.52000000000001</v>
      </c>
      <c r="C128" s="8">
        <v>159.55000000000001</v>
      </c>
      <c r="D128" s="8">
        <v>153.52000000000001</v>
      </c>
      <c r="E128" s="8">
        <v>193.12</v>
      </c>
      <c r="F128" s="8">
        <v>163.12</v>
      </c>
      <c r="G128" s="8">
        <v>153.52000000000001</v>
      </c>
      <c r="H128" s="8">
        <v>168.14</v>
      </c>
      <c r="I128" s="8">
        <v>153.52000000000001</v>
      </c>
      <c r="J128" s="8">
        <v>153.52000000000001</v>
      </c>
      <c r="K128" s="8">
        <v>203.7</v>
      </c>
      <c r="L128" s="8">
        <v>153.52000000000001</v>
      </c>
      <c r="M128" s="8">
        <v>153.51</v>
      </c>
      <c r="N128" s="21">
        <v>1962.26</v>
      </c>
      <c r="O128" s="14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spans="1:27" x14ac:dyDescent="0.25">
      <c r="A129" s="15" t="s">
        <v>124</v>
      </c>
      <c r="B129" s="8">
        <v>44.8</v>
      </c>
      <c r="C129" s="8">
        <v>44.8</v>
      </c>
      <c r="D129" s="8">
        <v>94.25</v>
      </c>
      <c r="E129" s="8">
        <v>48.17</v>
      </c>
      <c r="F129" s="8">
        <v>44.8</v>
      </c>
      <c r="G129" s="8">
        <v>44.8</v>
      </c>
      <c r="H129" s="8">
        <v>44.8</v>
      </c>
      <c r="I129" s="8">
        <v>44.8</v>
      </c>
      <c r="J129" s="8">
        <v>44.8</v>
      </c>
      <c r="K129" s="8">
        <v>44.8</v>
      </c>
      <c r="L129" s="8">
        <v>44.8</v>
      </c>
      <c r="M129" s="8">
        <v>44.79</v>
      </c>
      <c r="N129" s="8">
        <v>590.41</v>
      </c>
      <c r="O129" s="14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spans="1:27" x14ac:dyDescent="0.25">
      <c r="A130" s="15" t="s">
        <v>125</v>
      </c>
      <c r="B130" s="62">
        <v>421.48</v>
      </c>
      <c r="C130" s="62">
        <v>430.41</v>
      </c>
      <c r="D130" s="62">
        <v>475.81</v>
      </c>
      <c r="E130" s="62">
        <v>446.02</v>
      </c>
      <c r="F130" s="62">
        <v>445.07</v>
      </c>
      <c r="G130" s="62">
        <v>451.62</v>
      </c>
      <c r="H130" s="62">
        <v>448.78</v>
      </c>
      <c r="I130" s="62">
        <v>481.14</v>
      </c>
      <c r="J130" s="62">
        <v>446.93</v>
      </c>
      <c r="K130" s="62">
        <v>533.99</v>
      </c>
      <c r="L130" s="62">
        <v>470.22</v>
      </c>
      <c r="M130" s="62">
        <v>438.96</v>
      </c>
      <c r="N130" s="62">
        <v>5490.43</v>
      </c>
      <c r="O130" s="14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spans="1:27" x14ac:dyDescent="0.25">
      <c r="A131" s="15" t="s">
        <v>126</v>
      </c>
      <c r="B131" s="62">
        <v>7945.55</v>
      </c>
      <c r="C131" s="62">
        <v>10259.73</v>
      </c>
      <c r="D131" s="62">
        <v>10811.51</v>
      </c>
      <c r="E131" s="62">
        <v>9911.74</v>
      </c>
      <c r="F131" s="62">
        <v>10729.71</v>
      </c>
      <c r="G131" s="62">
        <v>8421.2199999999993</v>
      </c>
      <c r="H131" s="62">
        <v>8696.2000000000007</v>
      </c>
      <c r="I131" s="62">
        <v>10320.99</v>
      </c>
      <c r="J131" s="62">
        <v>9031.51</v>
      </c>
      <c r="K131" s="62">
        <v>8619.5499999999993</v>
      </c>
      <c r="L131" s="62">
        <v>8369.4500000000007</v>
      </c>
      <c r="M131" s="62">
        <v>12658.85</v>
      </c>
      <c r="N131" s="62">
        <v>115775.98</v>
      </c>
      <c r="O131" s="14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 spans="1:27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4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 spans="1:27" x14ac:dyDescent="0.25">
      <c r="A133" s="15" t="s">
        <v>127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4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 spans="1:27" x14ac:dyDescent="0.25">
      <c r="A134" s="15" t="s">
        <v>128</v>
      </c>
      <c r="B134" s="8">
        <v>4.12</v>
      </c>
      <c r="C134" s="8">
        <v>4.2</v>
      </c>
      <c r="D134" s="8">
        <v>4.8899999999999997</v>
      </c>
      <c r="E134" s="8">
        <v>4.18</v>
      </c>
      <c r="F134" s="8">
        <v>1.87</v>
      </c>
      <c r="G134" s="8">
        <v>1.56</v>
      </c>
      <c r="H134" s="8">
        <v>1.41</v>
      </c>
      <c r="I134" s="8">
        <v>4.58</v>
      </c>
      <c r="J134" s="8">
        <v>3.44</v>
      </c>
      <c r="K134" s="8">
        <v>5.41</v>
      </c>
      <c r="L134" s="8">
        <v>8.57</v>
      </c>
      <c r="M134" s="8">
        <v>5.66</v>
      </c>
      <c r="N134" s="8">
        <v>49.89</v>
      </c>
      <c r="O134" s="14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 spans="1:27" x14ac:dyDescent="0.25">
      <c r="A135" s="15" t="s">
        <v>129</v>
      </c>
      <c r="B135" s="62">
        <v>4.12</v>
      </c>
      <c r="C135" s="62">
        <v>4.2</v>
      </c>
      <c r="D135" s="62">
        <v>4.8899999999999997</v>
      </c>
      <c r="E135" s="62">
        <v>4.18</v>
      </c>
      <c r="F135" s="62">
        <v>1.87</v>
      </c>
      <c r="G135" s="62">
        <v>1.56</v>
      </c>
      <c r="H135" s="62">
        <v>1.41</v>
      </c>
      <c r="I135" s="62">
        <v>4.58</v>
      </c>
      <c r="J135" s="62">
        <v>3.44</v>
      </c>
      <c r="K135" s="62">
        <v>5.41</v>
      </c>
      <c r="L135" s="62">
        <v>8.57</v>
      </c>
      <c r="M135" s="62">
        <v>5.66</v>
      </c>
      <c r="N135" s="62">
        <v>49.89</v>
      </c>
      <c r="O135" s="14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spans="1:27" x14ac:dyDescent="0.25">
      <c r="A136" s="15" t="s">
        <v>130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4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 spans="1:27" x14ac:dyDescent="0.25">
      <c r="A137" s="15" t="s">
        <v>131</v>
      </c>
      <c r="B137" s="8"/>
      <c r="C137" s="8"/>
      <c r="D137" s="8"/>
      <c r="E137" s="8"/>
      <c r="F137" s="8"/>
      <c r="G137" s="8">
        <v>150</v>
      </c>
      <c r="H137" s="8"/>
      <c r="I137" s="8">
        <v>53.89</v>
      </c>
      <c r="J137" s="8">
        <v>48.14</v>
      </c>
      <c r="K137" s="8"/>
      <c r="L137" s="8"/>
      <c r="M137" s="8"/>
      <c r="N137" s="8">
        <v>252.03</v>
      </c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 spans="1:27" x14ac:dyDescent="0.25">
      <c r="A138" s="15" t="s">
        <v>132</v>
      </c>
      <c r="B138" s="8"/>
      <c r="C138" s="8"/>
      <c r="D138" s="8"/>
      <c r="E138" s="8">
        <v>-0.02</v>
      </c>
      <c r="F138" s="8"/>
      <c r="G138" s="8"/>
      <c r="H138" s="8"/>
      <c r="I138" s="8"/>
      <c r="J138" s="8"/>
      <c r="K138" s="8"/>
      <c r="L138" s="8"/>
      <c r="M138" s="8"/>
      <c r="N138" s="8">
        <v>-0.02</v>
      </c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 spans="1:27" x14ac:dyDescent="0.25">
      <c r="A139" s="15" t="s">
        <v>133</v>
      </c>
      <c r="B139" s="62">
        <v>0</v>
      </c>
      <c r="C139" s="62">
        <v>0</v>
      </c>
      <c r="D139" s="62">
        <v>0</v>
      </c>
      <c r="E139" s="63">
        <v>-0.02</v>
      </c>
      <c r="F139" s="62">
        <v>0</v>
      </c>
      <c r="G139" s="62">
        <v>150</v>
      </c>
      <c r="H139" s="62">
        <v>0</v>
      </c>
      <c r="I139" s="62">
        <v>53.89</v>
      </c>
      <c r="J139" s="62">
        <v>48.14</v>
      </c>
      <c r="K139" s="62">
        <v>0</v>
      </c>
      <c r="L139" s="62">
        <v>0</v>
      </c>
      <c r="M139" s="62">
        <v>0</v>
      </c>
      <c r="N139" s="62">
        <v>252.01</v>
      </c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 spans="1:27" x14ac:dyDescent="0.25">
      <c r="A140" s="15" t="s">
        <v>134</v>
      </c>
      <c r="B140" s="63">
        <v>-694.13</v>
      </c>
      <c r="C140" s="62">
        <v>145.49</v>
      </c>
      <c r="D140" s="63">
        <v>-1822.39</v>
      </c>
      <c r="E140" s="62">
        <v>245.32</v>
      </c>
      <c r="F140" s="62">
        <v>1937.55</v>
      </c>
      <c r="G140" s="62">
        <v>1216.47</v>
      </c>
      <c r="H140" s="63">
        <v>-72.959999999999994</v>
      </c>
      <c r="I140" s="63">
        <v>-925.69</v>
      </c>
      <c r="J140" s="62">
        <v>3293.71</v>
      </c>
      <c r="K140" s="62">
        <v>2883.45</v>
      </c>
      <c r="L140" s="62">
        <v>3564.87</v>
      </c>
      <c r="M140" s="63">
        <v>-708.83</v>
      </c>
      <c r="N140" s="62">
        <v>9062.8799999999992</v>
      </c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 spans="1:27" x14ac:dyDescent="0.25">
      <c r="A141" s="59" t="s">
        <v>135</v>
      </c>
      <c r="B141" s="60">
        <v>-0.03</v>
      </c>
      <c r="C141" s="60">
        <v>0.01</v>
      </c>
      <c r="D141" s="60">
        <v>-0.08</v>
      </c>
      <c r="E141" s="60">
        <v>0.01</v>
      </c>
      <c r="F141" s="60">
        <v>0.06</v>
      </c>
      <c r="G141" s="60">
        <v>0.05</v>
      </c>
      <c r="H141" s="60">
        <v>0</v>
      </c>
      <c r="I141" s="60">
        <v>-0.03</v>
      </c>
      <c r="J141" s="60">
        <v>0.1</v>
      </c>
      <c r="K141" s="60">
        <v>0.08</v>
      </c>
      <c r="L141" s="60">
        <v>0.1</v>
      </c>
      <c r="M141" s="60">
        <v>-0.02</v>
      </c>
      <c r="N141" s="60">
        <v>0.03</v>
      </c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 spans="1:27" x14ac:dyDescent="0.25">
      <c r="A142" s="1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 spans="1:27" x14ac:dyDescent="0.25">
      <c r="A143" s="64"/>
      <c r="B143" s="65" t="s">
        <v>137</v>
      </c>
      <c r="C143" s="65" t="s">
        <v>137</v>
      </c>
      <c r="D143" s="65" t="s">
        <v>137</v>
      </c>
      <c r="E143" s="65" t="s">
        <v>137</v>
      </c>
      <c r="F143" s="65" t="s">
        <v>137</v>
      </c>
      <c r="G143" s="65" t="s">
        <v>137</v>
      </c>
      <c r="H143" s="65" t="s">
        <v>137</v>
      </c>
      <c r="I143" s="65" t="s">
        <v>137</v>
      </c>
      <c r="J143" s="65" t="s">
        <v>137</v>
      </c>
      <c r="K143" s="65" t="s">
        <v>137</v>
      </c>
      <c r="L143" s="65" t="s">
        <v>137</v>
      </c>
      <c r="M143" s="65" t="s">
        <v>137</v>
      </c>
      <c r="N143" s="65" t="s">
        <v>137</v>
      </c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 spans="1:27" x14ac:dyDescent="0.25">
      <c r="A144" s="64"/>
      <c r="B144" s="65" t="s">
        <v>137</v>
      </c>
      <c r="C144" s="65" t="s">
        <v>137</v>
      </c>
      <c r="D144" s="65" t="s">
        <v>137</v>
      </c>
      <c r="E144" s="65" t="s">
        <v>137</v>
      </c>
      <c r="F144" s="65" t="s">
        <v>137</v>
      </c>
      <c r="G144" s="65" t="s">
        <v>137</v>
      </c>
      <c r="H144" s="65" t="s">
        <v>137</v>
      </c>
      <c r="I144" s="65" t="s">
        <v>137</v>
      </c>
      <c r="J144" s="65" t="s">
        <v>137</v>
      </c>
      <c r="K144" s="65" t="s">
        <v>137</v>
      </c>
      <c r="L144" s="65" t="s">
        <v>137</v>
      </c>
      <c r="M144" s="65" t="s">
        <v>137</v>
      </c>
      <c r="N144" s="65" t="s">
        <v>137</v>
      </c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</row>
    <row r="145" spans="1:27" x14ac:dyDescent="0.25">
      <c r="A145" s="6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</row>
    <row r="146" spans="1:27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</row>
    <row r="147" spans="1:27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</row>
    <row r="148" spans="1:27" x14ac:dyDescent="0.25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</row>
    <row r="149" spans="1:27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</row>
    <row r="150" spans="1:27" x14ac:dyDescent="0.25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</row>
    <row r="151" spans="1:27" x14ac:dyDescent="0.25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</row>
    <row r="152" spans="1:27" x14ac:dyDescent="0.25">
      <c r="A152" s="15" t="s">
        <v>41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 t="s">
        <v>138</v>
      </c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</row>
    <row r="153" spans="1:27" x14ac:dyDescent="0.25">
      <c r="A153" s="15" t="s">
        <v>42</v>
      </c>
      <c r="B153" s="8">
        <v>300</v>
      </c>
      <c r="C153" s="8">
        <v>360</v>
      </c>
      <c r="D153" s="8">
        <v>420</v>
      </c>
      <c r="E153" s="8">
        <v>510</v>
      </c>
      <c r="F153" s="8">
        <v>540</v>
      </c>
      <c r="G153" s="8">
        <v>480</v>
      </c>
      <c r="H153" s="8">
        <v>300</v>
      </c>
      <c r="I153" s="8">
        <v>360</v>
      </c>
      <c r="J153" s="8">
        <v>510</v>
      </c>
      <c r="K153" s="8">
        <v>780</v>
      </c>
      <c r="L153" s="8">
        <v>780</v>
      </c>
      <c r="M153" s="8">
        <v>660</v>
      </c>
      <c r="N153" s="52">
        <v>6002</v>
      </c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</row>
    <row r="154" spans="1:27" x14ac:dyDescent="0.25">
      <c r="A154" s="15" t="s">
        <v>43</v>
      </c>
      <c r="B154" s="8">
        <v>283</v>
      </c>
      <c r="C154" s="8">
        <v>404</v>
      </c>
      <c r="D154" s="8">
        <v>283</v>
      </c>
      <c r="E154" s="8">
        <v>242</v>
      </c>
      <c r="F154" s="8">
        <v>323</v>
      </c>
      <c r="G154" s="8">
        <v>283</v>
      </c>
      <c r="H154" s="8">
        <v>323</v>
      </c>
      <c r="I154" s="8">
        <v>404</v>
      </c>
      <c r="J154" s="8">
        <v>364</v>
      </c>
      <c r="K154" s="8">
        <v>404</v>
      </c>
      <c r="L154" s="8">
        <v>364</v>
      </c>
      <c r="M154" s="8">
        <v>364</v>
      </c>
      <c r="N154" s="52">
        <v>4039</v>
      </c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</row>
    <row r="155" spans="1:27" x14ac:dyDescent="0.25">
      <c r="A155" s="15" t="s">
        <v>44</v>
      </c>
      <c r="B155" s="8">
        <v>151</v>
      </c>
      <c r="C155" s="8">
        <v>146</v>
      </c>
      <c r="D155" s="8">
        <v>212</v>
      </c>
      <c r="E155" s="8">
        <v>216</v>
      </c>
      <c r="F155" s="8">
        <v>303</v>
      </c>
      <c r="G155" s="8">
        <v>240</v>
      </c>
      <c r="H155" s="8">
        <v>202</v>
      </c>
      <c r="I155" s="8">
        <v>274</v>
      </c>
      <c r="J155" s="8">
        <v>243</v>
      </c>
      <c r="K155" s="8">
        <v>364</v>
      </c>
      <c r="L155" s="8">
        <v>385</v>
      </c>
      <c r="M155" s="8">
        <v>297</v>
      </c>
      <c r="N155" s="52">
        <v>3032</v>
      </c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</row>
    <row r="156" spans="1:27" x14ac:dyDescent="0.25">
      <c r="A156" s="15" t="s">
        <v>45</v>
      </c>
      <c r="B156" s="55">
        <v>733</v>
      </c>
      <c r="C156" s="55">
        <v>910</v>
      </c>
      <c r="D156" s="55">
        <v>915</v>
      </c>
      <c r="E156" s="55">
        <v>968</v>
      </c>
      <c r="F156" s="55">
        <v>1166</v>
      </c>
      <c r="G156" s="55">
        <v>1003</v>
      </c>
      <c r="H156" s="55">
        <v>826</v>
      </c>
      <c r="I156" s="55">
        <v>1038</v>
      </c>
      <c r="J156" s="55">
        <v>1116</v>
      </c>
      <c r="K156" s="55">
        <v>1548</v>
      </c>
      <c r="L156" s="55">
        <v>1529</v>
      </c>
      <c r="M156" s="55">
        <v>1321</v>
      </c>
      <c r="N156" s="55">
        <v>13074</v>
      </c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</row>
    <row r="157" spans="1:27" x14ac:dyDescent="0.25">
      <c r="A157" s="15" t="s">
        <v>46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 t="s">
        <v>138</v>
      </c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</row>
    <row r="158" spans="1:27" ht="31.5" x14ac:dyDescent="0.25">
      <c r="A158" s="15" t="s">
        <v>47</v>
      </c>
      <c r="B158" s="8">
        <v>1387</v>
      </c>
      <c r="C158" s="8">
        <v>1664</v>
      </c>
      <c r="D158" s="8">
        <v>1941</v>
      </c>
      <c r="E158" s="8">
        <v>2358</v>
      </c>
      <c r="F158" s="8">
        <v>2496</v>
      </c>
      <c r="G158" s="8">
        <v>2219</v>
      </c>
      <c r="H158" s="8">
        <v>1387</v>
      </c>
      <c r="I158" s="8">
        <v>1664</v>
      </c>
      <c r="J158" s="8">
        <v>2358</v>
      </c>
      <c r="K158" s="8">
        <v>3606</v>
      </c>
      <c r="L158" s="8">
        <v>3606</v>
      </c>
      <c r="M158" s="8">
        <v>3051</v>
      </c>
      <c r="N158" s="52">
        <v>27735</v>
      </c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x14ac:dyDescent="0.25">
      <c r="A159" s="7" t="s">
        <v>48</v>
      </c>
      <c r="B159" s="8">
        <v>988</v>
      </c>
      <c r="C159" s="8">
        <v>936</v>
      </c>
      <c r="D159" s="8">
        <v>624</v>
      </c>
      <c r="E159" s="8">
        <v>364</v>
      </c>
      <c r="F159" s="8">
        <v>416</v>
      </c>
      <c r="G159" s="8">
        <v>1144</v>
      </c>
      <c r="H159" s="8">
        <v>1092</v>
      </c>
      <c r="I159" s="8">
        <v>1300</v>
      </c>
      <c r="J159" s="8">
        <v>1560</v>
      </c>
      <c r="K159" s="8">
        <v>728</v>
      </c>
      <c r="L159" s="8">
        <v>572</v>
      </c>
      <c r="M159" s="8">
        <v>676</v>
      </c>
      <c r="N159" s="52">
        <v>10401</v>
      </c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</row>
    <row r="160" spans="1:27" x14ac:dyDescent="0.25">
      <c r="A160" s="7" t="s">
        <v>49</v>
      </c>
      <c r="B160" s="8">
        <v>1872</v>
      </c>
      <c r="C160" s="8">
        <v>2085</v>
      </c>
      <c r="D160" s="8">
        <v>1716</v>
      </c>
      <c r="E160" s="8">
        <v>2384</v>
      </c>
      <c r="F160" s="8">
        <v>3432</v>
      </c>
      <c r="G160" s="8">
        <v>2808</v>
      </c>
      <c r="H160" s="8">
        <v>2174</v>
      </c>
      <c r="I160" s="8">
        <v>1744</v>
      </c>
      <c r="J160" s="8">
        <v>2340</v>
      </c>
      <c r="K160" s="8">
        <v>3120</v>
      </c>
      <c r="L160" s="8">
        <v>4368</v>
      </c>
      <c r="M160" s="8">
        <v>3158</v>
      </c>
      <c r="N160" s="52">
        <v>31201</v>
      </c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</row>
    <row r="161" spans="1:27" x14ac:dyDescent="0.25">
      <c r="A161" s="15" t="s">
        <v>50</v>
      </c>
      <c r="B161" s="8">
        <v>9403</v>
      </c>
      <c r="C161" s="8">
        <v>8297</v>
      </c>
      <c r="D161" s="8">
        <v>8629</v>
      </c>
      <c r="E161" s="8">
        <v>7522</v>
      </c>
      <c r="F161" s="8">
        <v>7567</v>
      </c>
      <c r="G161" s="8">
        <v>7744</v>
      </c>
      <c r="H161" s="8">
        <v>9735</v>
      </c>
      <c r="I161" s="8">
        <v>10841</v>
      </c>
      <c r="J161" s="8">
        <v>9514</v>
      </c>
      <c r="K161" s="8">
        <v>9735</v>
      </c>
      <c r="L161" s="8">
        <v>12169</v>
      </c>
      <c r="M161" s="8">
        <v>9469</v>
      </c>
      <c r="N161" s="52">
        <v>110624</v>
      </c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</row>
    <row r="162" spans="1:27" x14ac:dyDescent="0.25">
      <c r="A162" s="15" t="s">
        <v>51</v>
      </c>
      <c r="B162" s="8">
        <v>246</v>
      </c>
      <c r="C162" s="8">
        <v>1844</v>
      </c>
      <c r="D162" s="8">
        <v>246</v>
      </c>
      <c r="E162" s="8">
        <v>246</v>
      </c>
      <c r="F162" s="8">
        <v>1844</v>
      </c>
      <c r="G162" s="8">
        <v>737</v>
      </c>
      <c r="H162" s="8">
        <v>492</v>
      </c>
      <c r="I162" s="8">
        <v>2704</v>
      </c>
      <c r="J162" s="8">
        <v>1475</v>
      </c>
      <c r="K162" s="8">
        <v>1844</v>
      </c>
      <c r="L162" s="8">
        <v>246</v>
      </c>
      <c r="M162" s="8">
        <v>369</v>
      </c>
      <c r="N162" s="52">
        <v>12292</v>
      </c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</row>
    <row r="163" spans="1:27" x14ac:dyDescent="0.25">
      <c r="A163" s="15" t="s">
        <v>52</v>
      </c>
      <c r="B163" s="8">
        <v>54</v>
      </c>
      <c r="C163" s="8">
        <v>83</v>
      </c>
      <c r="D163" s="8">
        <v>131</v>
      </c>
      <c r="E163" s="8">
        <v>165</v>
      </c>
      <c r="F163" s="8">
        <v>123</v>
      </c>
      <c r="G163" s="8">
        <v>65</v>
      </c>
      <c r="H163" s="8">
        <v>72</v>
      </c>
      <c r="I163" s="8">
        <v>169</v>
      </c>
      <c r="J163" s="8">
        <v>184</v>
      </c>
      <c r="K163" s="8">
        <v>207</v>
      </c>
      <c r="L163" s="8">
        <v>199</v>
      </c>
      <c r="M163" s="8">
        <v>84</v>
      </c>
      <c r="N163" s="52">
        <v>1536</v>
      </c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</row>
    <row r="164" spans="1:27" x14ac:dyDescent="0.25">
      <c r="A164" s="15" t="s">
        <v>53</v>
      </c>
      <c r="B164" s="8">
        <v>115</v>
      </c>
      <c r="C164" s="8">
        <v>92</v>
      </c>
      <c r="D164" s="8">
        <v>69</v>
      </c>
      <c r="E164" s="8">
        <v>69</v>
      </c>
      <c r="F164" s="8">
        <v>230</v>
      </c>
      <c r="G164" s="8">
        <v>253</v>
      </c>
      <c r="H164" s="8">
        <v>184</v>
      </c>
      <c r="I164" s="8">
        <v>92</v>
      </c>
      <c r="J164" s="8">
        <v>230</v>
      </c>
      <c r="K164" s="8">
        <v>300</v>
      </c>
      <c r="L164" s="8">
        <v>415</v>
      </c>
      <c r="M164" s="8">
        <v>253</v>
      </c>
      <c r="N164" s="52">
        <v>2304</v>
      </c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</row>
    <row r="165" spans="1:27" x14ac:dyDescent="0.25">
      <c r="A165" s="15" t="s">
        <v>54</v>
      </c>
      <c r="B165" s="55">
        <v>14065</v>
      </c>
      <c r="C165" s="55">
        <v>15000</v>
      </c>
      <c r="D165" s="55">
        <v>13356</v>
      </c>
      <c r="E165" s="55">
        <v>13108</v>
      </c>
      <c r="F165" s="55">
        <v>16108</v>
      </c>
      <c r="G165" s="55">
        <v>14970</v>
      </c>
      <c r="H165" s="55">
        <v>15136</v>
      </c>
      <c r="I165" s="55">
        <v>18515</v>
      </c>
      <c r="J165" s="55">
        <v>17661</v>
      </c>
      <c r="K165" s="55">
        <v>19539</v>
      </c>
      <c r="L165" s="55">
        <v>21574</v>
      </c>
      <c r="M165" s="55">
        <v>17061</v>
      </c>
      <c r="N165" s="55">
        <v>196092</v>
      </c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</row>
    <row r="166" spans="1:27" x14ac:dyDescent="0.25">
      <c r="A166" s="15" t="s">
        <v>55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>
        <v>124</v>
      </c>
      <c r="N166" s="52">
        <v>124</v>
      </c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</row>
    <row r="167" spans="1:27" x14ac:dyDescent="0.25">
      <c r="A167" s="15" t="s">
        <v>56</v>
      </c>
      <c r="B167" s="8"/>
      <c r="C167" s="8"/>
      <c r="D167" s="8"/>
      <c r="E167" s="8"/>
      <c r="F167" s="8"/>
      <c r="G167" s="8"/>
      <c r="H167" s="8"/>
      <c r="I167" s="8">
        <v>1017</v>
      </c>
      <c r="J167" s="8">
        <v>840</v>
      </c>
      <c r="K167" s="8">
        <v>1238</v>
      </c>
      <c r="L167" s="8">
        <v>751</v>
      </c>
      <c r="M167" s="8">
        <v>575</v>
      </c>
      <c r="N167" s="52">
        <v>4420</v>
      </c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</row>
    <row r="168" spans="1:27" x14ac:dyDescent="0.25">
      <c r="A168" s="15" t="s">
        <v>57</v>
      </c>
      <c r="B168" s="8"/>
      <c r="C168" s="8"/>
      <c r="D168" s="8"/>
      <c r="E168" s="8"/>
      <c r="F168" s="8"/>
      <c r="G168" s="8"/>
      <c r="H168" s="8"/>
      <c r="I168" s="8">
        <v>353</v>
      </c>
      <c r="J168" s="8">
        <v>409</v>
      </c>
      <c r="K168" s="8">
        <v>427</v>
      </c>
      <c r="L168" s="8">
        <v>409</v>
      </c>
      <c r="M168" s="8">
        <v>260</v>
      </c>
      <c r="N168" s="52">
        <v>1858</v>
      </c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</row>
    <row r="169" spans="1:27" x14ac:dyDescent="0.25">
      <c r="A169" s="15" t="s">
        <v>58</v>
      </c>
      <c r="B169" s="54" t="s">
        <v>173</v>
      </c>
      <c r="C169" s="54" t="s">
        <v>174</v>
      </c>
      <c r="D169" s="54" t="s">
        <v>174</v>
      </c>
      <c r="E169" s="54" t="s">
        <v>174</v>
      </c>
      <c r="F169" s="54" t="s">
        <v>175</v>
      </c>
      <c r="G169" s="54" t="s">
        <v>174</v>
      </c>
      <c r="H169" s="54" t="s">
        <v>174</v>
      </c>
      <c r="I169" s="55">
        <v>1370</v>
      </c>
      <c r="J169" s="55">
        <v>1249</v>
      </c>
      <c r="K169" s="55">
        <v>1665</v>
      </c>
      <c r="L169" s="55">
        <v>1160</v>
      </c>
      <c r="M169" s="55">
        <v>835</v>
      </c>
      <c r="N169" s="55">
        <v>6278</v>
      </c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</row>
    <row r="170" spans="1:27" x14ac:dyDescent="0.25">
      <c r="A170" s="15" t="s">
        <v>59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 t="s">
        <v>138</v>
      </c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</row>
    <row r="171" spans="1:27" x14ac:dyDescent="0.25">
      <c r="A171" s="15" t="s">
        <v>60</v>
      </c>
      <c r="B171" s="8">
        <v>250</v>
      </c>
      <c r="C171" s="8">
        <v>300</v>
      </c>
      <c r="D171" s="8">
        <v>350</v>
      </c>
      <c r="E171" s="8">
        <v>425</v>
      </c>
      <c r="F171" s="8">
        <v>450</v>
      </c>
      <c r="G171" s="8">
        <v>400</v>
      </c>
      <c r="H171" s="8">
        <v>250</v>
      </c>
      <c r="I171" s="8">
        <v>300</v>
      </c>
      <c r="J171" s="8">
        <v>425</v>
      </c>
      <c r="K171" s="8">
        <v>649</v>
      </c>
      <c r="L171" s="8">
        <v>649</v>
      </c>
      <c r="M171" s="8">
        <v>549</v>
      </c>
      <c r="N171" s="52">
        <v>4995</v>
      </c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</row>
    <row r="172" spans="1:27" x14ac:dyDescent="0.25">
      <c r="A172" s="15" t="s">
        <v>61</v>
      </c>
      <c r="B172" s="8">
        <v>492</v>
      </c>
      <c r="C172" s="8">
        <v>702</v>
      </c>
      <c r="D172" s="8">
        <v>492</v>
      </c>
      <c r="E172" s="8">
        <v>421</v>
      </c>
      <c r="F172" s="8">
        <v>562</v>
      </c>
      <c r="G172" s="8">
        <v>492</v>
      </c>
      <c r="H172" s="8">
        <v>562</v>
      </c>
      <c r="I172" s="8">
        <v>702</v>
      </c>
      <c r="J172" s="8">
        <v>632</v>
      </c>
      <c r="K172" s="8">
        <v>702</v>
      </c>
      <c r="L172" s="8">
        <v>632</v>
      </c>
      <c r="M172" s="8">
        <v>632</v>
      </c>
      <c r="N172" s="52">
        <v>7022</v>
      </c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</row>
    <row r="173" spans="1:27" x14ac:dyDescent="0.25">
      <c r="A173" s="15" t="s">
        <v>62</v>
      </c>
      <c r="B173" s="8"/>
      <c r="C173" s="8"/>
      <c r="D173" s="8"/>
      <c r="E173" s="8"/>
      <c r="F173" s="8"/>
      <c r="G173" s="8"/>
      <c r="H173" s="8"/>
      <c r="I173" s="8">
        <v>106</v>
      </c>
      <c r="J173" s="8"/>
      <c r="K173" s="8">
        <v>15</v>
      </c>
      <c r="L173" s="8"/>
      <c r="M173" s="8">
        <v>528</v>
      </c>
      <c r="N173" s="52">
        <v>649</v>
      </c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</row>
    <row r="174" spans="1:27" x14ac:dyDescent="0.25">
      <c r="A174" s="15" t="s">
        <v>63</v>
      </c>
      <c r="B174" s="55">
        <v>741</v>
      </c>
      <c r="C174" s="55">
        <v>1002</v>
      </c>
      <c r="D174" s="55">
        <v>841</v>
      </c>
      <c r="E174" s="55">
        <v>846</v>
      </c>
      <c r="F174" s="55">
        <v>1011</v>
      </c>
      <c r="G174" s="55">
        <v>891</v>
      </c>
      <c r="H174" s="55">
        <v>812</v>
      </c>
      <c r="I174" s="55">
        <v>1107</v>
      </c>
      <c r="J174" s="55">
        <v>1057</v>
      </c>
      <c r="K174" s="55">
        <v>1367</v>
      </c>
      <c r="L174" s="55">
        <v>1281</v>
      </c>
      <c r="M174" s="55">
        <v>1710</v>
      </c>
      <c r="N174" s="55">
        <v>12666</v>
      </c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</row>
    <row r="175" spans="1:27" x14ac:dyDescent="0.25">
      <c r="A175" s="15" t="s">
        <v>64</v>
      </c>
      <c r="B175" s="55">
        <v>15539</v>
      </c>
      <c r="C175" s="55">
        <v>16912</v>
      </c>
      <c r="D175" s="55">
        <v>15112</v>
      </c>
      <c r="E175" s="55">
        <v>14922</v>
      </c>
      <c r="F175" s="55">
        <v>18286</v>
      </c>
      <c r="G175" s="55">
        <v>16864</v>
      </c>
      <c r="H175" s="55">
        <v>16773</v>
      </c>
      <c r="I175" s="55">
        <v>22030</v>
      </c>
      <c r="J175" s="55">
        <v>21082</v>
      </c>
      <c r="K175" s="55">
        <v>24119</v>
      </c>
      <c r="L175" s="55">
        <v>25544</v>
      </c>
      <c r="M175" s="55">
        <v>21050</v>
      </c>
      <c r="N175" s="55">
        <v>228233</v>
      </c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</row>
    <row r="176" spans="1:27" x14ac:dyDescent="0.25">
      <c r="A176" s="59" t="s">
        <v>65</v>
      </c>
      <c r="B176" s="55">
        <v>7247</v>
      </c>
      <c r="C176" s="55">
        <v>10401</v>
      </c>
      <c r="D176" s="55">
        <v>8984</v>
      </c>
      <c r="E176" s="55">
        <v>10153</v>
      </c>
      <c r="F176" s="55">
        <v>12665</v>
      </c>
      <c r="G176" s="55">
        <v>9786</v>
      </c>
      <c r="H176" s="55">
        <v>8622</v>
      </c>
      <c r="I176" s="55">
        <v>9445</v>
      </c>
      <c r="J176" s="55">
        <v>12370</v>
      </c>
      <c r="K176" s="55">
        <v>11498</v>
      </c>
      <c r="L176" s="55">
        <v>11926</v>
      </c>
      <c r="M176" s="55">
        <v>11944</v>
      </c>
      <c r="N176" s="55">
        <v>125041</v>
      </c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</row>
    <row r="177" spans="1:27" x14ac:dyDescent="0.25">
      <c r="A177" s="59" t="s">
        <v>66</v>
      </c>
      <c r="B177" s="22">
        <v>0.32</v>
      </c>
      <c r="C177" s="22">
        <v>0.38</v>
      </c>
      <c r="D177" s="22">
        <v>0.37</v>
      </c>
      <c r="E177" s="22">
        <v>0.4</v>
      </c>
      <c r="F177" s="22">
        <v>0.41</v>
      </c>
      <c r="G177" s="22">
        <v>0.37</v>
      </c>
      <c r="H177" s="66">
        <v>0.34</v>
      </c>
      <c r="I177" s="22">
        <v>0.3</v>
      </c>
      <c r="J177" s="22">
        <v>0.37</v>
      </c>
      <c r="K177" s="22">
        <v>0.32</v>
      </c>
      <c r="L177" s="22">
        <v>0.32</v>
      </c>
      <c r="M177" s="66">
        <v>0.36</v>
      </c>
      <c r="N177" s="22">
        <v>0.35</v>
      </c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</row>
  </sheetData>
  <sheetProtection algorithmName="SHA-512" hashValue="eBfh1vTuDoaYMeiReopW78cOjp2G4zRlT2dTU/cVZvbZoLZcVlIzV7O579n/nuBkjUp2mCu4vYzqphVGs8lnUw==" saltValue="oygFJR6oz80p7ZSnXB39Aw==" spinCount="100000" sheet="1" objects="1" scenarios="1"/>
  <mergeCells count="3">
    <mergeCell ref="A1:N1"/>
    <mergeCell ref="A2:N2"/>
    <mergeCell ref="A148:N1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E22A-8E82-48D5-83F5-F79B8CB36ABF}">
  <dimension ref="A1:Y125"/>
  <sheetViews>
    <sheetView zoomScale="120" zoomScaleNormal="120" workbookViewId="0">
      <pane xSplit="1" ySplit="4" topLeftCell="B22" activePane="bottomRight" state="frozen"/>
      <selection pane="topRight"/>
      <selection pane="bottomLeft"/>
      <selection pane="bottomRight" activeCell="N116" sqref="N116"/>
    </sheetView>
  </sheetViews>
  <sheetFormatPr defaultColWidth="11" defaultRowHeight="15.75" x14ac:dyDescent="0.25"/>
  <cols>
    <col min="1" max="1" width="36.875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11" bestFit="1" customWidth="1"/>
    <col min="16" max="16" width="12" bestFit="1" customWidth="1"/>
    <col min="18" max="18" width="17.625" customWidth="1"/>
  </cols>
  <sheetData>
    <row r="1" spans="1:25" ht="30.95" customHeight="1" x14ac:dyDescent="0.4">
      <c r="A1" s="137" t="s">
        <v>176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100000000000001" customHeight="1" x14ac:dyDescent="0.3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x14ac:dyDescent="0.3">
      <c r="A3" s="14"/>
      <c r="B3" s="117" t="s">
        <v>242</v>
      </c>
      <c r="C3" s="116"/>
      <c r="D3" s="116"/>
      <c r="E3" s="116"/>
      <c r="F3" s="116"/>
      <c r="G3" s="116"/>
      <c r="H3" s="116"/>
      <c r="I3" s="14"/>
      <c r="J3" s="14"/>
      <c r="K3" s="14"/>
      <c r="L3" s="14"/>
      <c r="M3" s="14"/>
      <c r="N3" s="14"/>
      <c r="O3" s="14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8"/>
      <c r="B4" s="9" t="s">
        <v>2</v>
      </c>
      <c r="C4" s="23">
        <v>45068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14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4"/>
      <c r="P5" s="1"/>
      <c r="Q5" s="1"/>
      <c r="R5" s="72" t="s">
        <v>177</v>
      </c>
      <c r="S5" s="72">
        <v>1.25</v>
      </c>
      <c r="T5" s="1"/>
      <c r="U5" s="1"/>
      <c r="V5" s="1"/>
      <c r="W5" s="1"/>
      <c r="X5" s="1"/>
      <c r="Y5" s="1"/>
    </row>
    <row r="6" spans="1:25" x14ac:dyDescent="0.25">
      <c r="A6" s="10" t="s">
        <v>178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41" t="s">
        <v>16</v>
      </c>
      <c r="P6" s="30"/>
      <c r="Q6" s="1"/>
      <c r="R6" s="30"/>
      <c r="S6" s="30"/>
      <c r="T6" s="1"/>
      <c r="U6" s="1"/>
      <c r="V6" s="1"/>
      <c r="W6" s="1"/>
      <c r="X6" s="1"/>
      <c r="Y6" s="1"/>
    </row>
    <row r="7" spans="1:25" x14ac:dyDescent="0.25">
      <c r="A7" s="10" t="s">
        <v>179</v>
      </c>
      <c r="B7" s="24">
        <v>2101.11</v>
      </c>
      <c r="C7" s="25">
        <v>1575.83</v>
      </c>
      <c r="D7" s="25">
        <v>2626.39</v>
      </c>
      <c r="E7" s="25">
        <v>5252.78</v>
      </c>
      <c r="F7" s="25">
        <v>5778.06</v>
      </c>
      <c r="G7" s="25">
        <v>4202.22</v>
      </c>
      <c r="H7" s="25">
        <v>2101.11</v>
      </c>
      <c r="I7" s="25">
        <v>1575.83</v>
      </c>
      <c r="J7" s="25">
        <v>5252.78</v>
      </c>
      <c r="K7" s="25">
        <v>5778.06</v>
      </c>
      <c r="L7" s="25">
        <v>9455.01</v>
      </c>
      <c r="M7" s="25">
        <v>6828.62</v>
      </c>
      <c r="N7" s="118">
        <f>SUM(B7:M7)</f>
        <v>52527.8</v>
      </c>
      <c r="O7" s="42"/>
      <c r="P7" s="1"/>
      <c r="Q7" s="1"/>
      <c r="R7" s="30" t="s">
        <v>180</v>
      </c>
      <c r="S7" s="107">
        <f>N29+N31+N37+N39+N40+N41</f>
        <v>229135.65000000002</v>
      </c>
      <c r="T7" s="6"/>
      <c r="U7" s="1"/>
      <c r="V7" s="1"/>
      <c r="W7" s="1"/>
      <c r="X7" s="1">
        <v>33234.269999999997</v>
      </c>
      <c r="Y7" s="1"/>
    </row>
    <row r="8" spans="1:25" x14ac:dyDescent="0.25">
      <c r="A8" s="10" t="s">
        <v>181</v>
      </c>
      <c r="B8" s="25">
        <v>945.5</v>
      </c>
      <c r="C8" s="25">
        <v>998.03</v>
      </c>
      <c r="D8" s="25">
        <v>630.33000000000004</v>
      </c>
      <c r="E8" s="25">
        <v>420.22</v>
      </c>
      <c r="F8" s="25">
        <v>367.69</v>
      </c>
      <c r="G8" s="25">
        <v>1103.08</v>
      </c>
      <c r="H8" s="25">
        <v>1155.6099999999999</v>
      </c>
      <c r="I8" s="25">
        <v>1575.83</v>
      </c>
      <c r="J8" s="25">
        <v>1313.2</v>
      </c>
      <c r="K8" s="25">
        <v>735.39</v>
      </c>
      <c r="L8" s="25">
        <v>577.80999999999995</v>
      </c>
      <c r="M8" s="25">
        <v>682.86</v>
      </c>
      <c r="N8" s="118">
        <f t="shared" ref="N8:N9" si="0">SUM(B8:M8)</f>
        <v>10505.55</v>
      </c>
      <c r="O8" s="42"/>
      <c r="P8" s="1"/>
      <c r="Q8" s="1"/>
      <c r="R8" s="30" t="s">
        <v>182</v>
      </c>
      <c r="S8" s="107">
        <f>N32+N43</f>
        <v>19800.510000000002</v>
      </c>
      <c r="T8" s="6"/>
      <c r="U8" s="1"/>
      <c r="V8" s="1"/>
      <c r="W8" s="1"/>
      <c r="X8" s="1">
        <v>11500.263000000001</v>
      </c>
      <c r="Y8" s="1"/>
    </row>
    <row r="9" spans="1:25" x14ac:dyDescent="0.25">
      <c r="A9" s="10" t="s">
        <v>183</v>
      </c>
      <c r="B9" s="25">
        <v>2941.56</v>
      </c>
      <c r="C9" s="25">
        <v>2521.33</v>
      </c>
      <c r="D9" s="25">
        <v>2521.33</v>
      </c>
      <c r="E9" s="25">
        <v>3361.78</v>
      </c>
      <c r="F9" s="25">
        <v>4202.22</v>
      </c>
      <c r="G9" s="25">
        <v>4202.22</v>
      </c>
      <c r="H9" s="25">
        <v>2521.33</v>
      </c>
      <c r="I9" s="25">
        <v>2101.11</v>
      </c>
      <c r="J9" s="25">
        <v>3361.78</v>
      </c>
      <c r="K9" s="25">
        <v>3782</v>
      </c>
      <c r="L9" s="25">
        <v>6303.34</v>
      </c>
      <c r="M9" s="25">
        <v>4202.22</v>
      </c>
      <c r="N9" s="118">
        <f t="shared" si="0"/>
        <v>42022.22</v>
      </c>
      <c r="O9" s="42"/>
      <c r="P9" s="1"/>
      <c r="Q9" s="1"/>
      <c r="R9" s="30" t="s">
        <v>184</v>
      </c>
      <c r="S9" s="108">
        <f>N10/(N10+(N14*1.3))</f>
        <v>0.26200865858661837</v>
      </c>
      <c r="T9" s="109">
        <f>S7*S9</f>
        <v>60035.524290872891</v>
      </c>
      <c r="U9" s="1"/>
      <c r="V9" s="1"/>
      <c r="W9" s="1"/>
      <c r="X9" s="1">
        <v>35599.544000000002</v>
      </c>
      <c r="Y9" s="1"/>
    </row>
    <row r="10" spans="1:25" x14ac:dyDescent="0.25">
      <c r="A10" s="17" t="s">
        <v>185</v>
      </c>
      <c r="B10" s="28">
        <f>SUM(B7:B9)</f>
        <v>5988.17</v>
      </c>
      <c r="C10" s="28">
        <f t="shared" ref="C10:N10" si="1">SUM(C7:C9)</f>
        <v>5095.1899999999996</v>
      </c>
      <c r="D10" s="28">
        <f t="shared" si="1"/>
        <v>5778.0499999999993</v>
      </c>
      <c r="E10" s="28">
        <f t="shared" si="1"/>
        <v>9034.7800000000007</v>
      </c>
      <c r="F10" s="28">
        <f t="shared" si="1"/>
        <v>10347.970000000001</v>
      </c>
      <c r="G10" s="28">
        <f t="shared" si="1"/>
        <v>9507.52</v>
      </c>
      <c r="H10" s="28">
        <f t="shared" si="1"/>
        <v>5778.05</v>
      </c>
      <c r="I10" s="28">
        <f t="shared" si="1"/>
        <v>5252.77</v>
      </c>
      <c r="J10" s="28">
        <f t="shared" si="1"/>
        <v>9927.76</v>
      </c>
      <c r="K10" s="28">
        <f t="shared" si="1"/>
        <v>10295.450000000001</v>
      </c>
      <c r="L10" s="28">
        <f t="shared" si="1"/>
        <v>16336.16</v>
      </c>
      <c r="M10" s="28">
        <f t="shared" si="1"/>
        <v>11713.7</v>
      </c>
      <c r="N10" s="28">
        <f t="shared" si="1"/>
        <v>105055.57</v>
      </c>
      <c r="O10" s="43">
        <f>(N10-T9)/N10</f>
        <v>0.42853554275253669</v>
      </c>
      <c r="P10" s="45"/>
      <c r="Q10" s="1"/>
      <c r="R10" s="30" t="s">
        <v>186</v>
      </c>
      <c r="S10" s="108">
        <f>(N14*1.3)/((N14*1.3)+N10)</f>
        <v>0.73799134141338163</v>
      </c>
      <c r="T10" s="110">
        <f>+S7*S10</f>
        <v>169100.12570912714</v>
      </c>
      <c r="U10" s="1"/>
      <c r="V10" s="1"/>
      <c r="W10" s="1"/>
      <c r="X10" s="1"/>
      <c r="Y10" s="1"/>
    </row>
    <row r="11" spans="1:25" x14ac:dyDescent="0.25">
      <c r="A11" s="10" t="s">
        <v>187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41" t="s">
        <v>188</v>
      </c>
      <c r="P11" s="30"/>
      <c r="Q11" s="30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0" t="s">
        <v>189</v>
      </c>
      <c r="B12" s="25">
        <v>15478.19</v>
      </c>
      <c r="C12" s="25">
        <v>16445.580000000002</v>
      </c>
      <c r="D12" s="25">
        <v>16445.580000000002</v>
      </c>
      <c r="E12" s="25">
        <v>13543.42</v>
      </c>
      <c r="F12" s="25">
        <v>13543.42</v>
      </c>
      <c r="G12" s="25">
        <v>13543.42</v>
      </c>
      <c r="H12" s="25">
        <v>17412.97</v>
      </c>
      <c r="I12" s="25">
        <v>17412.97</v>
      </c>
      <c r="J12" s="25">
        <v>17412.97</v>
      </c>
      <c r="K12" s="25">
        <v>17412.97</v>
      </c>
      <c r="L12" s="25">
        <v>17412.97</v>
      </c>
      <c r="M12" s="25">
        <v>17412.97</v>
      </c>
      <c r="N12" s="118">
        <f>SUM(B12:M12)</f>
        <v>193477.43000000002</v>
      </c>
      <c r="O12" s="42"/>
      <c r="P12" s="1"/>
      <c r="Q12" s="1"/>
      <c r="R12" s="5"/>
      <c r="S12" s="5"/>
      <c r="T12" s="5"/>
      <c r="U12" s="5"/>
      <c r="V12" s="5"/>
      <c r="W12" s="3">
        <v>123.55</v>
      </c>
      <c r="X12" s="5">
        <v>125485.44</v>
      </c>
      <c r="Y12" s="1"/>
    </row>
    <row r="13" spans="1:25" x14ac:dyDescent="0.25">
      <c r="A13" s="10" t="s">
        <v>190</v>
      </c>
      <c r="B13" s="25">
        <v>682.86</v>
      </c>
      <c r="C13" s="25">
        <v>5121.46</v>
      </c>
      <c r="D13" s="25">
        <v>682.86</v>
      </c>
      <c r="E13" s="25">
        <v>682.86</v>
      </c>
      <c r="F13" s="25">
        <v>5121.46</v>
      </c>
      <c r="G13" s="25">
        <v>2048.58</v>
      </c>
      <c r="H13" s="25">
        <v>1365.72</v>
      </c>
      <c r="I13" s="25">
        <v>7511.48</v>
      </c>
      <c r="J13" s="25">
        <v>4097.17</v>
      </c>
      <c r="K13" s="25">
        <v>5121.46</v>
      </c>
      <c r="L13" s="25">
        <v>682.86</v>
      </c>
      <c r="M13" s="25">
        <v>1024.29</v>
      </c>
      <c r="N13" s="118">
        <f t="shared" ref="N13" si="2">SUM(B13:M13)</f>
        <v>34143.06</v>
      </c>
      <c r="O13" s="42"/>
      <c r="P13" s="1"/>
      <c r="Q13" s="1"/>
      <c r="R13" s="5"/>
      <c r="S13" s="3"/>
      <c r="T13" s="5"/>
      <c r="U13" s="3"/>
      <c r="V13" s="3"/>
      <c r="W13" s="3"/>
      <c r="X13" s="5">
        <v>14892.39</v>
      </c>
      <c r="Y13" s="1"/>
    </row>
    <row r="14" spans="1:25" x14ac:dyDescent="0.25">
      <c r="A14" s="17" t="s">
        <v>191</v>
      </c>
      <c r="B14" s="28">
        <f>SUM(B12:B13)</f>
        <v>16161.050000000001</v>
      </c>
      <c r="C14" s="28">
        <f t="shared" ref="C14:N14" si="3">SUM(C12:C13)</f>
        <v>21567.040000000001</v>
      </c>
      <c r="D14" s="28">
        <f t="shared" si="3"/>
        <v>17128.440000000002</v>
      </c>
      <c r="E14" s="28">
        <f t="shared" si="3"/>
        <v>14226.28</v>
      </c>
      <c r="F14" s="28">
        <f t="shared" si="3"/>
        <v>18664.88</v>
      </c>
      <c r="G14" s="28">
        <f t="shared" si="3"/>
        <v>15592</v>
      </c>
      <c r="H14" s="28">
        <f t="shared" si="3"/>
        <v>18778.690000000002</v>
      </c>
      <c r="I14" s="28">
        <f t="shared" si="3"/>
        <v>24924.45</v>
      </c>
      <c r="J14" s="28">
        <f t="shared" si="3"/>
        <v>21510.14</v>
      </c>
      <c r="K14" s="28">
        <f t="shared" si="3"/>
        <v>22534.43</v>
      </c>
      <c r="L14" s="28">
        <f t="shared" si="3"/>
        <v>18095.830000000002</v>
      </c>
      <c r="M14" s="28">
        <f t="shared" si="3"/>
        <v>18437.260000000002</v>
      </c>
      <c r="N14" s="28">
        <f t="shared" si="3"/>
        <v>227620.49000000002</v>
      </c>
      <c r="O14" s="43">
        <f>(N14-T10)/N14</f>
        <v>0.25709620557829777</v>
      </c>
      <c r="P14" s="45"/>
      <c r="Q14" s="1"/>
      <c r="R14" s="5"/>
      <c r="S14" s="5"/>
      <c r="T14" s="5"/>
      <c r="U14" s="5"/>
      <c r="V14" s="5"/>
      <c r="W14" s="3">
        <v>123.55</v>
      </c>
      <c r="X14" s="3"/>
      <c r="Y14" s="1"/>
    </row>
    <row r="15" spans="1:25" x14ac:dyDescent="0.25">
      <c r="A15" s="10" t="s">
        <v>192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v>0</v>
      </c>
      <c r="O15" s="38"/>
      <c r="P15" s="1"/>
      <c r="Q15" s="1"/>
      <c r="R15" s="3"/>
      <c r="S15" s="3"/>
      <c r="T15" s="3"/>
      <c r="U15" s="3"/>
      <c r="V15" s="3"/>
      <c r="W15" s="3"/>
      <c r="X15" s="3"/>
      <c r="Y15" s="1"/>
    </row>
    <row r="16" spans="1:25" x14ac:dyDescent="0.25">
      <c r="A16" s="10" t="s">
        <v>193</v>
      </c>
      <c r="B16" s="25">
        <v>188.56</v>
      </c>
      <c r="C16" s="25">
        <v>314.26</v>
      </c>
      <c r="D16" s="25">
        <v>628.53</v>
      </c>
      <c r="E16" s="25">
        <v>691.38</v>
      </c>
      <c r="F16" s="25">
        <v>502.82</v>
      </c>
      <c r="G16" s="25">
        <v>251.41</v>
      </c>
      <c r="H16" s="25">
        <v>188.56</v>
      </c>
      <c r="I16" s="25">
        <v>628.53</v>
      </c>
      <c r="J16" s="25">
        <v>691.38</v>
      </c>
      <c r="K16" s="25">
        <v>1131.3499999999999</v>
      </c>
      <c r="L16" s="25">
        <v>817.08</v>
      </c>
      <c r="M16" s="25">
        <v>251.41</v>
      </c>
      <c r="N16" s="118">
        <f>SUM(B16:M16)</f>
        <v>6285.27</v>
      </c>
      <c r="O16" s="42"/>
      <c r="P16" s="1"/>
      <c r="Q16" s="1"/>
      <c r="R16" s="3"/>
      <c r="S16" s="5"/>
      <c r="T16" s="5"/>
      <c r="U16" s="3"/>
      <c r="V16" s="3"/>
      <c r="W16" s="3"/>
      <c r="X16" s="5">
        <v>2857.52</v>
      </c>
      <c r="Y16" s="1"/>
    </row>
    <row r="17" spans="1:25" x14ac:dyDescent="0.25">
      <c r="A17" s="10" t="s">
        <v>194</v>
      </c>
      <c r="B17" s="25">
        <v>448.96</v>
      </c>
      <c r="C17" s="25">
        <v>336.72</v>
      </c>
      <c r="D17" s="25">
        <v>561.20000000000005</v>
      </c>
      <c r="E17" s="25">
        <v>1122.4000000000001</v>
      </c>
      <c r="F17" s="25">
        <v>1234.6400000000001</v>
      </c>
      <c r="G17" s="25">
        <v>897.92</v>
      </c>
      <c r="H17" s="25">
        <v>448.96</v>
      </c>
      <c r="I17" s="25">
        <v>336.72</v>
      </c>
      <c r="J17" s="25">
        <v>1122.4000000000001</v>
      </c>
      <c r="K17" s="25">
        <v>1234.6400000000001</v>
      </c>
      <c r="L17" s="25">
        <v>2020.32</v>
      </c>
      <c r="M17" s="25">
        <v>1459.12</v>
      </c>
      <c r="N17" s="118">
        <f t="shared" ref="N17" si="4">SUM(B17:M17)</f>
        <v>11224</v>
      </c>
      <c r="O17" s="42"/>
      <c r="P17" s="1"/>
      <c r="Q17" s="1"/>
      <c r="R17" s="3"/>
      <c r="S17" s="5"/>
      <c r="T17" s="5"/>
      <c r="U17" s="3"/>
      <c r="V17" s="3"/>
      <c r="W17" s="3"/>
      <c r="X17" s="5">
        <v>4663.8999999999996</v>
      </c>
      <c r="Y17" s="1"/>
    </row>
    <row r="18" spans="1:25" x14ac:dyDescent="0.25">
      <c r="A18" s="17" t="s">
        <v>195</v>
      </c>
      <c r="B18" s="28">
        <f>SUM(B16:B17)</f>
        <v>637.52</v>
      </c>
      <c r="C18" s="28">
        <f t="shared" ref="C18:N18" si="5">SUM(C16:C17)</f>
        <v>650.98</v>
      </c>
      <c r="D18" s="28">
        <f t="shared" si="5"/>
        <v>1189.73</v>
      </c>
      <c r="E18" s="28">
        <f t="shared" si="5"/>
        <v>1813.7800000000002</v>
      </c>
      <c r="F18" s="28">
        <f t="shared" si="5"/>
        <v>1737.46</v>
      </c>
      <c r="G18" s="28">
        <f t="shared" si="5"/>
        <v>1149.33</v>
      </c>
      <c r="H18" s="28">
        <f t="shared" si="5"/>
        <v>637.52</v>
      </c>
      <c r="I18" s="28">
        <f t="shared" si="5"/>
        <v>965.25</v>
      </c>
      <c r="J18" s="28">
        <f t="shared" si="5"/>
        <v>1813.7800000000002</v>
      </c>
      <c r="K18" s="28">
        <f t="shared" si="5"/>
        <v>2365.9899999999998</v>
      </c>
      <c r="L18" s="28">
        <f t="shared" si="5"/>
        <v>2837.4</v>
      </c>
      <c r="M18" s="28">
        <f t="shared" si="5"/>
        <v>1710.53</v>
      </c>
      <c r="N18" s="28">
        <f t="shared" si="5"/>
        <v>17509.27</v>
      </c>
      <c r="O18" s="43">
        <f>(N18-S8)/N18</f>
        <v>-0.13085868228658315</v>
      </c>
      <c r="P18" s="1"/>
      <c r="Q18" s="1"/>
      <c r="R18" s="3"/>
      <c r="S18" s="5"/>
      <c r="T18" s="5"/>
      <c r="U18" s="3"/>
      <c r="V18" s="3"/>
      <c r="W18" s="3"/>
      <c r="X18" s="3"/>
      <c r="Y18" s="1"/>
    </row>
    <row r="19" spans="1:25" x14ac:dyDescent="0.25">
      <c r="A19" s="10" t="s">
        <v>36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>
        <v>0</v>
      </c>
      <c r="O19" s="31"/>
      <c r="P19" s="1"/>
      <c r="Q19" s="1"/>
      <c r="R19" s="5"/>
      <c r="S19" s="5"/>
      <c r="T19" s="5"/>
      <c r="U19" s="5"/>
      <c r="V19" s="5"/>
      <c r="W19" s="3">
        <v>123.55</v>
      </c>
      <c r="X19" s="5">
        <v>228233.33</v>
      </c>
      <c r="Y19" s="1"/>
    </row>
    <row r="20" spans="1:25" x14ac:dyDescent="0.25">
      <c r="A20" s="10"/>
      <c r="B20" s="25"/>
      <c r="C20" s="25"/>
      <c r="D20" s="25"/>
      <c r="E20" s="25"/>
      <c r="F20" s="24"/>
      <c r="G20" s="24"/>
      <c r="H20" s="25"/>
      <c r="I20" s="24"/>
      <c r="J20" s="24"/>
      <c r="K20" s="24"/>
      <c r="L20" s="24"/>
      <c r="M20" s="24"/>
      <c r="N20" s="27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0" t="s">
        <v>38</v>
      </c>
      <c r="B21" s="25"/>
      <c r="C21" s="25"/>
      <c r="D21" s="25"/>
      <c r="E21" s="25"/>
      <c r="F21" s="24">
        <v>200.68</v>
      </c>
      <c r="G21" s="24">
        <v>401.36</v>
      </c>
      <c r="H21" s="24">
        <v>200.68</v>
      </c>
      <c r="I21" s="24">
        <v>332</v>
      </c>
      <c r="J21" s="24">
        <v>200.68</v>
      </c>
      <c r="K21" s="24">
        <v>420</v>
      </c>
      <c r="L21" s="24">
        <v>200.68</v>
      </c>
      <c r="M21" s="24">
        <f>200.68+932</f>
        <v>1132.68</v>
      </c>
      <c r="N21" s="27">
        <f>SUM(B21:M21)</f>
        <v>3088.76</v>
      </c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7" t="s">
        <v>39</v>
      </c>
      <c r="B22" s="28">
        <f>B10+B14+B18+B21</f>
        <v>22786.74</v>
      </c>
      <c r="C22" s="28">
        <f t="shared" ref="C22:M22" si="6">C10+C14+C18+C21</f>
        <v>27313.21</v>
      </c>
      <c r="D22" s="28">
        <f t="shared" si="6"/>
        <v>24096.22</v>
      </c>
      <c r="E22" s="28">
        <f t="shared" si="6"/>
        <v>25074.84</v>
      </c>
      <c r="F22" s="28">
        <f t="shared" si="6"/>
        <v>30950.99</v>
      </c>
      <c r="G22" s="28">
        <f t="shared" si="6"/>
        <v>26650.21</v>
      </c>
      <c r="H22" s="28">
        <f t="shared" si="6"/>
        <v>25394.940000000002</v>
      </c>
      <c r="I22" s="28">
        <f t="shared" si="6"/>
        <v>31474.47</v>
      </c>
      <c r="J22" s="28">
        <f t="shared" si="6"/>
        <v>33452.36</v>
      </c>
      <c r="K22" s="28">
        <f t="shared" si="6"/>
        <v>35615.870000000003</v>
      </c>
      <c r="L22" s="28">
        <f t="shared" si="6"/>
        <v>37470.070000000007</v>
      </c>
      <c r="M22" s="28">
        <f t="shared" si="6"/>
        <v>32994.17</v>
      </c>
      <c r="N22" s="28">
        <f t="shared" ref="N22" si="7">N10+N14+N18+N21</f>
        <v>353274.09000000008</v>
      </c>
      <c r="O22" s="14"/>
      <c r="P22" s="1"/>
      <c r="Q22" s="33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34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14"/>
      <c r="P23" s="1"/>
      <c r="Q23" s="33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0" t="s">
        <v>196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4"/>
      <c r="P24" s="1"/>
      <c r="Q24" s="33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0" t="s">
        <v>197</v>
      </c>
      <c r="B25" s="24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7">
        <v>0</v>
      </c>
      <c r="O25" s="1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0" t="s">
        <v>198</v>
      </c>
      <c r="B26" s="25">
        <v>890.54</v>
      </c>
      <c r="C26" s="25">
        <v>798.65</v>
      </c>
      <c r="D26" s="25">
        <v>1025.44</v>
      </c>
      <c r="E26" s="25">
        <v>2067.4499999999998</v>
      </c>
      <c r="F26" s="25">
        <v>2345.67</v>
      </c>
      <c r="G26" s="25">
        <v>2256.87</v>
      </c>
      <c r="H26" s="25">
        <v>2178.67</v>
      </c>
      <c r="I26" s="25">
        <v>2737.12</v>
      </c>
      <c r="J26" s="25">
        <v>2643.89</v>
      </c>
      <c r="K26" s="25">
        <v>2436.71</v>
      </c>
      <c r="L26" s="25">
        <v>1876</v>
      </c>
      <c r="M26" s="25">
        <v>2156</v>
      </c>
      <c r="N26" s="27">
        <f>SUM(B26:M26)</f>
        <v>23413.01</v>
      </c>
      <c r="O26" s="1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0" t="s">
        <v>199</v>
      </c>
      <c r="B27" s="24">
        <v>667.88</v>
      </c>
      <c r="C27" s="24">
        <v>598.66999999999996</v>
      </c>
      <c r="D27" s="24">
        <v>701.22</v>
      </c>
      <c r="E27" s="24">
        <v>1275.8800000000001</v>
      </c>
      <c r="F27" s="25">
        <v>1284.33</v>
      </c>
      <c r="G27" s="25">
        <v>1332.45</v>
      </c>
      <c r="H27" s="25">
        <v>1356.78</v>
      </c>
      <c r="I27" s="25">
        <v>1567.89</v>
      </c>
      <c r="J27" s="25">
        <v>1409.45</v>
      </c>
      <c r="K27" s="25">
        <v>1406.45</v>
      </c>
      <c r="L27" s="25">
        <v>1636.74</v>
      </c>
      <c r="M27" s="25">
        <v>1663.54</v>
      </c>
      <c r="N27" s="27">
        <f>SUM(B27:M27)</f>
        <v>14901.279999999999</v>
      </c>
      <c r="O27" s="14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0" t="s">
        <v>200</v>
      </c>
      <c r="B28" s="24">
        <v>200.59</v>
      </c>
      <c r="C28" s="24">
        <v>195.95</v>
      </c>
      <c r="D28" s="24">
        <v>262.23</v>
      </c>
      <c r="E28" s="24">
        <v>265.64999999999998</v>
      </c>
      <c r="F28" s="25">
        <v>353.1</v>
      </c>
      <c r="G28" s="25">
        <v>290.10000000000002</v>
      </c>
      <c r="H28" s="25">
        <v>252.45</v>
      </c>
      <c r="I28" s="25">
        <v>323.87</v>
      </c>
      <c r="J28" s="25">
        <v>292.55</v>
      </c>
      <c r="K28" s="25">
        <v>413.82</v>
      </c>
      <c r="L28" s="25">
        <v>443.81</v>
      </c>
      <c r="M28" s="25">
        <v>386.79</v>
      </c>
      <c r="N28" s="27">
        <f>SUM(B28:M28)</f>
        <v>3680.9100000000003</v>
      </c>
      <c r="O28" s="14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7" t="s">
        <v>201</v>
      </c>
      <c r="B29" s="28">
        <f>SUM(B26:B28)</f>
        <v>1759.01</v>
      </c>
      <c r="C29" s="28">
        <f t="shared" ref="C29:M29" si="8">SUM(C26:C28)</f>
        <v>1593.27</v>
      </c>
      <c r="D29" s="28">
        <f t="shared" si="8"/>
        <v>1988.89</v>
      </c>
      <c r="E29" s="28">
        <f t="shared" si="8"/>
        <v>3608.98</v>
      </c>
      <c r="F29" s="28">
        <f t="shared" si="8"/>
        <v>3983.1</v>
      </c>
      <c r="G29" s="28">
        <f t="shared" si="8"/>
        <v>3879.4199999999996</v>
      </c>
      <c r="H29" s="28">
        <f t="shared" si="8"/>
        <v>3787.8999999999996</v>
      </c>
      <c r="I29" s="28">
        <f t="shared" si="8"/>
        <v>4628.88</v>
      </c>
      <c r="J29" s="28">
        <f t="shared" si="8"/>
        <v>4345.8900000000003</v>
      </c>
      <c r="K29" s="28">
        <f t="shared" si="8"/>
        <v>4256.9799999999996</v>
      </c>
      <c r="L29" s="28">
        <f t="shared" si="8"/>
        <v>3956.5499999999997</v>
      </c>
      <c r="M29" s="28">
        <f t="shared" si="8"/>
        <v>4206.33</v>
      </c>
      <c r="N29" s="28">
        <f>SUM(N25:N28)</f>
        <v>41995.199999999997</v>
      </c>
      <c r="O29" s="14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0" t="s">
        <v>202</v>
      </c>
      <c r="B30" s="25"/>
      <c r="C30" s="25"/>
      <c r="D30" s="24"/>
      <c r="E30" s="24"/>
      <c r="F30" s="24"/>
      <c r="G30" s="24"/>
      <c r="H30" s="25"/>
      <c r="I30" s="24"/>
      <c r="J30" s="24"/>
      <c r="K30" s="24"/>
      <c r="L30" s="24"/>
      <c r="M30" s="25"/>
      <c r="N30" s="27">
        <v>0</v>
      </c>
      <c r="O30" s="38"/>
      <c r="P30" s="40"/>
      <c r="Q30" s="1"/>
      <c r="R30" s="1"/>
      <c r="S30" s="1"/>
      <c r="T30" s="1"/>
      <c r="U30" s="1"/>
      <c r="V30" s="1"/>
      <c r="W30" s="1"/>
      <c r="X30" s="1"/>
      <c r="Y30" s="1"/>
    </row>
    <row r="31" spans="1:25" ht="17.25" customHeight="1" x14ac:dyDescent="0.25">
      <c r="A31" s="10" t="s">
        <v>203</v>
      </c>
      <c r="B31" s="24">
        <v>1886.77</v>
      </c>
      <c r="C31" s="24">
        <v>2064.12</v>
      </c>
      <c r="D31" s="24">
        <v>2241.48</v>
      </c>
      <c r="E31" s="24">
        <v>2457.5100000000002</v>
      </c>
      <c r="F31" s="24">
        <v>2696.19</v>
      </c>
      <c r="G31" s="24">
        <v>2818.83</v>
      </c>
      <c r="H31" s="24">
        <v>1886.77</v>
      </c>
      <c r="I31" s="24">
        <v>2564.12</v>
      </c>
      <c r="J31" s="24">
        <v>3357.51</v>
      </c>
      <c r="K31" s="24">
        <v>3905.61</v>
      </c>
      <c r="L31" s="24">
        <v>3805.61</v>
      </c>
      <c r="M31" s="24">
        <v>3350.97</v>
      </c>
      <c r="N31" s="27">
        <f>SUM(B31:M31)</f>
        <v>33035.490000000005</v>
      </c>
      <c r="O31" s="39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9" t="s">
        <v>204</v>
      </c>
      <c r="B32" s="25">
        <v>488.04</v>
      </c>
      <c r="C32" s="25">
        <v>536.04</v>
      </c>
      <c r="D32" s="24">
        <v>324.02999999999997</v>
      </c>
      <c r="E32" s="24">
        <v>264.02</v>
      </c>
      <c r="F32" s="24">
        <v>216.02</v>
      </c>
      <c r="G32" s="24">
        <v>544.04999999999995</v>
      </c>
      <c r="H32" s="25">
        <v>592.04999999999995</v>
      </c>
      <c r="I32" s="24">
        <v>600.05999999999995</v>
      </c>
      <c r="J32" s="24">
        <v>560.07000000000005</v>
      </c>
      <c r="K32" s="24">
        <v>428.03</v>
      </c>
      <c r="L32" s="24">
        <v>372.02</v>
      </c>
      <c r="M32" s="25">
        <v>376.08</v>
      </c>
      <c r="N32" s="27">
        <f>SUM(B32:M32)</f>
        <v>5300.51</v>
      </c>
      <c r="O32" s="39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35" t="s">
        <v>205</v>
      </c>
      <c r="B33" s="36">
        <f>B31+B32</f>
        <v>2374.81</v>
      </c>
      <c r="C33" s="36">
        <f t="shared" ref="C33:J33" si="9">C31+C32</f>
        <v>2600.16</v>
      </c>
      <c r="D33" s="36">
        <f t="shared" si="9"/>
        <v>2565.5100000000002</v>
      </c>
      <c r="E33" s="36">
        <f t="shared" si="9"/>
        <v>2721.53</v>
      </c>
      <c r="F33" s="36">
        <f t="shared" si="9"/>
        <v>2912.21</v>
      </c>
      <c r="G33" s="36">
        <f t="shared" si="9"/>
        <v>3362.88</v>
      </c>
      <c r="H33" s="36">
        <f t="shared" si="9"/>
        <v>2478.8199999999997</v>
      </c>
      <c r="I33" s="36">
        <f t="shared" si="9"/>
        <v>3164.18</v>
      </c>
      <c r="J33" s="36">
        <f t="shared" si="9"/>
        <v>3917.5800000000004</v>
      </c>
      <c r="K33" s="36">
        <f>K31+K32</f>
        <v>4333.6400000000003</v>
      </c>
      <c r="L33" s="36">
        <f t="shared" ref="L33" si="10">L31+L32</f>
        <v>4177.63</v>
      </c>
      <c r="M33" s="36">
        <f t="shared" ref="M33" si="11">M31+M32</f>
        <v>3727.0499999999997</v>
      </c>
      <c r="N33" s="37">
        <f>SUM(N31:N32)</f>
        <v>38336.000000000007</v>
      </c>
      <c r="O33" s="39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" customHeight="1" x14ac:dyDescent="0.25">
      <c r="A34" s="10" t="s">
        <v>206</v>
      </c>
      <c r="B34" s="25"/>
      <c r="C34" s="25"/>
      <c r="D34" s="24"/>
      <c r="E34" s="24"/>
      <c r="F34" s="24"/>
      <c r="G34" s="24"/>
      <c r="H34" s="25"/>
      <c r="I34" s="24"/>
      <c r="J34" s="24"/>
      <c r="K34" s="24"/>
      <c r="L34" s="24"/>
      <c r="M34" s="25"/>
      <c r="N34" s="27"/>
      <c r="O34" s="39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0" t="s">
        <v>207</v>
      </c>
      <c r="B35" s="25">
        <v>376.78</v>
      </c>
      <c r="C35" s="25">
        <v>398.65</v>
      </c>
      <c r="D35" s="24">
        <v>404</v>
      </c>
      <c r="E35" s="24">
        <v>412</v>
      </c>
      <c r="F35" s="24">
        <v>445</v>
      </c>
      <c r="G35" s="24">
        <v>478</v>
      </c>
      <c r="H35" s="25">
        <v>456</v>
      </c>
      <c r="I35" s="24">
        <v>578.65</v>
      </c>
      <c r="J35" s="24">
        <v>607</v>
      </c>
      <c r="K35" s="24">
        <v>609</v>
      </c>
      <c r="L35" s="24">
        <v>657</v>
      </c>
      <c r="M35" s="25">
        <v>580</v>
      </c>
      <c r="N35" s="27">
        <f>SUM(B35:M35)</f>
        <v>6002.08</v>
      </c>
      <c r="O35" s="39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29" t="s">
        <v>208</v>
      </c>
      <c r="B36" s="25">
        <v>2356</v>
      </c>
      <c r="C36" s="25">
        <v>2578</v>
      </c>
      <c r="D36" s="24">
        <v>2480</v>
      </c>
      <c r="E36" s="24">
        <v>2674</v>
      </c>
      <c r="F36" s="24">
        <v>2389</v>
      </c>
      <c r="G36" s="24">
        <v>2674</v>
      </c>
      <c r="H36" s="25">
        <v>2787</v>
      </c>
      <c r="I36" s="24">
        <v>2911</v>
      </c>
      <c r="J36" s="24">
        <v>2885</v>
      </c>
      <c r="K36" s="24">
        <v>2863</v>
      </c>
      <c r="L36" s="24">
        <v>2367</v>
      </c>
      <c r="M36" s="25">
        <v>2237</v>
      </c>
      <c r="N36" s="27">
        <f>SUM(B36:M36)</f>
        <v>31201</v>
      </c>
      <c r="O36" s="39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7" t="s">
        <v>209</v>
      </c>
      <c r="B37" s="36">
        <f>SUM(B35:B36)</f>
        <v>2732.7799999999997</v>
      </c>
      <c r="C37" s="36">
        <f t="shared" ref="C37:F37" si="12">SUM(C35:C36)</f>
        <v>2976.65</v>
      </c>
      <c r="D37" s="36">
        <f t="shared" si="12"/>
        <v>2884</v>
      </c>
      <c r="E37" s="36">
        <f t="shared" si="12"/>
        <v>3086</v>
      </c>
      <c r="F37" s="36">
        <f t="shared" si="12"/>
        <v>2834</v>
      </c>
      <c r="G37" s="36">
        <f t="shared" ref="G37" si="13">SUM(G35:G36)</f>
        <v>3152</v>
      </c>
      <c r="H37" s="36">
        <f t="shared" ref="H37" si="14">SUM(H35:H36)</f>
        <v>3243</v>
      </c>
      <c r="I37" s="36">
        <f t="shared" ref="I37" si="15">SUM(I35:I36)</f>
        <v>3489.65</v>
      </c>
      <c r="J37" s="36">
        <f t="shared" ref="J37" si="16">SUM(J35:J36)</f>
        <v>3492</v>
      </c>
      <c r="K37" s="36">
        <f t="shared" ref="K37" si="17">SUM(K35:K36)</f>
        <v>3472</v>
      </c>
      <c r="L37" s="36">
        <f t="shared" ref="L37" si="18">SUM(L35:L36)</f>
        <v>3024</v>
      </c>
      <c r="M37" s="36">
        <f t="shared" ref="M37" si="19">SUM(M35:M36)</f>
        <v>2817</v>
      </c>
      <c r="N37" s="36">
        <f t="shared" ref="N37" si="20">SUM(N35:N36)</f>
        <v>37203.08</v>
      </c>
      <c r="O37" s="39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0" t="s">
        <v>210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4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0" t="s">
        <v>211</v>
      </c>
      <c r="B39" s="25">
        <v>8245</v>
      </c>
      <c r="C39" s="25">
        <v>8301</v>
      </c>
      <c r="D39" s="25">
        <v>8456</v>
      </c>
      <c r="E39" s="25">
        <v>8540</v>
      </c>
      <c r="F39" s="25">
        <v>9156</v>
      </c>
      <c r="G39" s="25">
        <v>9245</v>
      </c>
      <c r="H39" s="25">
        <v>9867</v>
      </c>
      <c r="I39" s="24">
        <v>10164</v>
      </c>
      <c r="J39" s="25">
        <v>9423</v>
      </c>
      <c r="K39" s="24">
        <v>9785</v>
      </c>
      <c r="L39" s="24">
        <v>9657</v>
      </c>
      <c r="M39" s="24">
        <v>9785</v>
      </c>
      <c r="N39" s="27">
        <f>SUM(B39:M39)</f>
        <v>110624</v>
      </c>
      <c r="O39" s="14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0" t="s">
        <v>212</v>
      </c>
      <c r="B40" s="25"/>
      <c r="C40" s="25"/>
      <c r="D40" s="25"/>
      <c r="E40" s="25"/>
      <c r="F40" s="25"/>
      <c r="G40" s="25"/>
      <c r="H40" s="25"/>
      <c r="I40" s="24">
        <v>1016.54</v>
      </c>
      <c r="J40" s="25">
        <v>839.75</v>
      </c>
      <c r="K40" s="24">
        <v>1237.53</v>
      </c>
      <c r="L40" s="24">
        <v>751.35</v>
      </c>
      <c r="M40" s="24">
        <v>574.58000000000004</v>
      </c>
      <c r="N40" s="27">
        <f t="shared" ref="N40:N41" si="21">SUM(B40:M40)</f>
        <v>4419.75</v>
      </c>
      <c r="O40" s="14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0" t="s">
        <v>213</v>
      </c>
      <c r="B41" s="25"/>
      <c r="C41" s="25"/>
      <c r="D41" s="25"/>
      <c r="E41" s="25"/>
      <c r="F41" s="25"/>
      <c r="G41" s="25"/>
      <c r="H41" s="25"/>
      <c r="I41" s="24">
        <v>353.04</v>
      </c>
      <c r="J41" s="25">
        <v>408.79</v>
      </c>
      <c r="K41" s="24">
        <v>427.37</v>
      </c>
      <c r="L41" s="24">
        <v>408.79</v>
      </c>
      <c r="M41" s="24">
        <v>260.14</v>
      </c>
      <c r="N41" s="27">
        <f t="shared" si="21"/>
        <v>1858.13</v>
      </c>
      <c r="O41" s="14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7" t="s">
        <v>214</v>
      </c>
      <c r="B42" s="28">
        <f>SUM(B39:B41)</f>
        <v>8245</v>
      </c>
      <c r="C42" s="28">
        <f t="shared" ref="C42:F42" si="22">SUM(C39:C41)</f>
        <v>8301</v>
      </c>
      <c r="D42" s="28">
        <f t="shared" si="22"/>
        <v>8456</v>
      </c>
      <c r="E42" s="28">
        <f t="shared" si="22"/>
        <v>8540</v>
      </c>
      <c r="F42" s="28">
        <f t="shared" si="22"/>
        <v>9156</v>
      </c>
      <c r="G42" s="28">
        <f>SUM(G39:G41)</f>
        <v>9245</v>
      </c>
      <c r="H42" s="28">
        <f t="shared" ref="H42" si="23">SUM(H39:H41)</f>
        <v>9867</v>
      </c>
      <c r="I42" s="28">
        <f t="shared" ref="I42" si="24">SUM(I39:I41)</f>
        <v>11533.580000000002</v>
      </c>
      <c r="J42" s="28">
        <f t="shared" ref="J42" si="25">SUM(J39:J41)</f>
        <v>10671.54</v>
      </c>
      <c r="K42" s="28">
        <f>SUM(K39:K41)</f>
        <v>11449.900000000001</v>
      </c>
      <c r="L42" s="28">
        <f t="shared" ref="L42" si="26">SUM(L39:L41)</f>
        <v>10817.140000000001</v>
      </c>
      <c r="M42" s="28">
        <f t="shared" ref="M42" si="27">SUM(M39:M41)</f>
        <v>10619.72</v>
      </c>
      <c r="N42" s="28">
        <f t="shared" ref="N42" si="28">SUM(N39:N41)</f>
        <v>116901.88</v>
      </c>
      <c r="O42" s="14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7" t="s">
        <v>215</v>
      </c>
      <c r="B43" s="28">
        <v>1256</v>
      </c>
      <c r="C43" s="28">
        <v>1345</v>
      </c>
      <c r="D43" s="28">
        <v>1423</v>
      </c>
      <c r="E43" s="28">
        <v>1767</v>
      </c>
      <c r="F43" s="28">
        <v>1723</v>
      </c>
      <c r="G43" s="28">
        <v>1556</v>
      </c>
      <c r="H43" s="28">
        <v>1108</v>
      </c>
      <c r="I43" s="28">
        <v>1034</v>
      </c>
      <c r="J43" s="28">
        <v>887</v>
      </c>
      <c r="K43" s="28">
        <v>866</v>
      </c>
      <c r="L43" s="28">
        <v>823</v>
      </c>
      <c r="M43" s="28">
        <v>712</v>
      </c>
      <c r="N43" s="28">
        <f>SUM(B43:M43)</f>
        <v>14500</v>
      </c>
      <c r="O43" s="14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0" t="s">
        <v>64</v>
      </c>
      <c r="B44" s="28">
        <f>B29+B33+B37+B42+B43</f>
        <v>16367.599999999999</v>
      </c>
      <c r="C44" s="28">
        <f t="shared" ref="C44:F44" si="29">C29+C33+C37+C42+C43</f>
        <v>16816.080000000002</v>
      </c>
      <c r="D44" s="28">
        <f t="shared" si="29"/>
        <v>17317.400000000001</v>
      </c>
      <c r="E44" s="28">
        <f t="shared" si="29"/>
        <v>19723.510000000002</v>
      </c>
      <c r="F44" s="28">
        <f t="shared" si="29"/>
        <v>20608.309999999998</v>
      </c>
      <c r="G44" s="28">
        <f>G29+G33+G37+G42+G43</f>
        <v>21195.3</v>
      </c>
      <c r="H44" s="28">
        <f t="shared" ref="H44" si="30">H29+H33+H37+H42+H43</f>
        <v>20484.72</v>
      </c>
      <c r="I44" s="28">
        <f t="shared" ref="I44" si="31">I29+I33+I37+I42+I43</f>
        <v>23850.29</v>
      </c>
      <c r="J44" s="28">
        <f t="shared" ref="J44" si="32">J29+J33+J37+J42+J43</f>
        <v>23314.010000000002</v>
      </c>
      <c r="K44" s="28">
        <f>K29+K33+K37+K42+K43</f>
        <v>24378.52</v>
      </c>
      <c r="L44" s="28">
        <f t="shared" ref="L44" si="33">L29+L33+L37+L42+L43</f>
        <v>22798.32</v>
      </c>
      <c r="M44" s="28">
        <f t="shared" ref="M44" si="34">M29+M33+M37+M42+M43</f>
        <v>22082.1</v>
      </c>
      <c r="N44" s="28">
        <f>N29+N33+N37+N42+N43</f>
        <v>248936.16000000003</v>
      </c>
      <c r="O44" s="14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34" t="s">
        <v>65</v>
      </c>
      <c r="B45" s="28">
        <f t="shared" ref="B45:N45" si="35">B22-B44</f>
        <v>6419.1400000000031</v>
      </c>
      <c r="C45" s="28">
        <f t="shared" si="35"/>
        <v>10497.129999999997</v>
      </c>
      <c r="D45" s="28">
        <f t="shared" si="35"/>
        <v>6778.82</v>
      </c>
      <c r="E45" s="28">
        <f t="shared" si="35"/>
        <v>5351.3299999999981</v>
      </c>
      <c r="F45" s="28">
        <f t="shared" si="35"/>
        <v>10342.680000000004</v>
      </c>
      <c r="G45" s="28">
        <f t="shared" si="35"/>
        <v>5454.91</v>
      </c>
      <c r="H45" s="28">
        <f t="shared" si="35"/>
        <v>4910.2200000000012</v>
      </c>
      <c r="I45" s="28">
        <f t="shared" si="35"/>
        <v>7624.18</v>
      </c>
      <c r="J45" s="28">
        <f t="shared" si="35"/>
        <v>10138.349999999999</v>
      </c>
      <c r="K45" s="28">
        <f t="shared" si="35"/>
        <v>11237.350000000002</v>
      </c>
      <c r="L45" s="28">
        <f t="shared" si="35"/>
        <v>14671.750000000007</v>
      </c>
      <c r="M45" s="28">
        <f t="shared" si="35"/>
        <v>10912.07</v>
      </c>
      <c r="N45" s="28">
        <f t="shared" si="35"/>
        <v>104337.93000000005</v>
      </c>
      <c r="O45" s="14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7" t="s">
        <v>66</v>
      </c>
      <c r="B46" s="18">
        <f t="shared" ref="B46:N46" si="36">B45/B22</f>
        <v>0.28170506180348759</v>
      </c>
      <c r="C46" s="18">
        <f t="shared" si="36"/>
        <v>0.38432428850362144</v>
      </c>
      <c r="D46" s="18">
        <f t="shared" si="36"/>
        <v>0.28132296268875362</v>
      </c>
      <c r="E46" s="18">
        <f t="shared" si="36"/>
        <v>0.21341432288301732</v>
      </c>
      <c r="F46" s="18">
        <f t="shared" si="36"/>
        <v>0.3341631398543311</v>
      </c>
      <c r="G46" s="18">
        <f t="shared" si="36"/>
        <v>0.2046854415030876</v>
      </c>
      <c r="H46" s="18">
        <f t="shared" si="36"/>
        <v>0.19335426663736952</v>
      </c>
      <c r="I46" s="18">
        <f t="shared" si="36"/>
        <v>0.2422337850327583</v>
      </c>
      <c r="J46" s="18">
        <f t="shared" si="36"/>
        <v>0.3030683037011439</v>
      </c>
      <c r="K46" s="18">
        <f t="shared" si="36"/>
        <v>0.31551524643368256</v>
      </c>
      <c r="L46" s="18">
        <f t="shared" si="36"/>
        <v>0.39155918310267379</v>
      </c>
      <c r="M46" s="18">
        <f t="shared" si="36"/>
        <v>0.33072721635367702</v>
      </c>
      <c r="N46" s="18">
        <f t="shared" si="36"/>
        <v>0.29534554883433434</v>
      </c>
      <c r="O46" s="14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4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0" t="s">
        <v>67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4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30" t="s">
        <v>68</v>
      </c>
      <c r="B49" s="8">
        <v>250</v>
      </c>
      <c r="C49" s="21">
        <v>1931.2</v>
      </c>
      <c r="D49" s="8">
        <v>250</v>
      </c>
      <c r="E49" s="8">
        <v>250</v>
      </c>
      <c r="F49" s="8">
        <v>250</v>
      </c>
      <c r="G49" s="8">
        <v>250</v>
      </c>
      <c r="H49" s="8">
        <v>250</v>
      </c>
      <c r="I49" s="8">
        <v>399.43</v>
      </c>
      <c r="J49" s="8">
        <v>250</v>
      </c>
      <c r="K49" s="8">
        <v>250</v>
      </c>
      <c r="L49" s="8">
        <v>250</v>
      </c>
      <c r="M49" s="8">
        <v>250</v>
      </c>
      <c r="N49" s="20">
        <f>SUM(B49:M49)</f>
        <v>4830.6299999999992</v>
      </c>
      <c r="O49" s="14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0" t="s">
        <v>69</v>
      </c>
      <c r="B50" s="8"/>
      <c r="C50" s="8"/>
      <c r="D50" s="8">
        <v>200</v>
      </c>
      <c r="E50" s="8">
        <v>100</v>
      </c>
      <c r="F50" s="13">
        <v>250</v>
      </c>
      <c r="G50" s="13">
        <v>112.24</v>
      </c>
      <c r="H50" s="13"/>
      <c r="I50" s="13">
        <v>450</v>
      </c>
      <c r="J50" s="13">
        <v>50</v>
      </c>
      <c r="K50" s="13">
        <v>25</v>
      </c>
      <c r="L50" s="13"/>
      <c r="M50" s="13">
        <v>200</v>
      </c>
      <c r="N50" s="20">
        <f t="shared" ref="N50:N52" si="37">SUM(B50:M50)</f>
        <v>1387.24</v>
      </c>
      <c r="O50" s="14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0" t="s">
        <v>70</v>
      </c>
      <c r="B51" s="8"/>
      <c r="C51" s="8"/>
      <c r="D51" s="8">
        <v>51.55</v>
      </c>
      <c r="E51" s="8">
        <v>58.65</v>
      </c>
      <c r="F51" s="8">
        <v>40.549999999999997</v>
      </c>
      <c r="G51" s="13">
        <v>76.55</v>
      </c>
      <c r="H51" s="13">
        <v>42.97</v>
      </c>
      <c r="I51" s="13">
        <v>86.55</v>
      </c>
      <c r="J51" s="13">
        <v>55.65</v>
      </c>
      <c r="K51" s="13">
        <v>44.55</v>
      </c>
      <c r="L51" s="13">
        <v>3.9</v>
      </c>
      <c r="M51" s="13"/>
      <c r="N51" s="20">
        <f t="shared" si="37"/>
        <v>460.91999999999996</v>
      </c>
      <c r="O51" s="14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29" t="s">
        <v>71</v>
      </c>
      <c r="B52" s="8">
        <v>500</v>
      </c>
      <c r="C52" s="8">
        <v>500</v>
      </c>
      <c r="D52" s="8">
        <v>500</v>
      </c>
      <c r="E52" s="8">
        <v>500</v>
      </c>
      <c r="F52" s="8">
        <v>500</v>
      </c>
      <c r="G52" s="8">
        <v>500</v>
      </c>
      <c r="H52" s="8">
        <v>500</v>
      </c>
      <c r="I52" s="8">
        <v>752.41</v>
      </c>
      <c r="J52" s="8">
        <v>500</v>
      </c>
      <c r="K52" s="8">
        <v>500</v>
      </c>
      <c r="L52" s="8">
        <v>500</v>
      </c>
      <c r="M52" s="8">
        <v>500</v>
      </c>
      <c r="N52" s="20">
        <f t="shared" si="37"/>
        <v>6252.41</v>
      </c>
      <c r="O52" s="14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0" t="s">
        <v>72</v>
      </c>
      <c r="B53" s="12">
        <f>SUM(B49:B52)</f>
        <v>750</v>
      </c>
      <c r="C53" s="12">
        <f t="shared" ref="C53:N53" si="38">SUM(C49:C52)</f>
        <v>2431.1999999999998</v>
      </c>
      <c r="D53" s="12">
        <f t="shared" si="38"/>
        <v>1001.55</v>
      </c>
      <c r="E53" s="12">
        <f t="shared" si="38"/>
        <v>908.65</v>
      </c>
      <c r="F53" s="12">
        <f t="shared" si="38"/>
        <v>1040.55</v>
      </c>
      <c r="G53" s="12">
        <f t="shared" si="38"/>
        <v>938.79</v>
      </c>
      <c r="H53" s="12">
        <f t="shared" si="38"/>
        <v>792.97</v>
      </c>
      <c r="I53" s="12">
        <f t="shared" si="38"/>
        <v>1688.3899999999999</v>
      </c>
      <c r="J53" s="12">
        <f t="shared" si="38"/>
        <v>855.65</v>
      </c>
      <c r="K53" s="12">
        <f t="shared" si="38"/>
        <v>819.55</v>
      </c>
      <c r="L53" s="12">
        <f t="shared" si="38"/>
        <v>753.9</v>
      </c>
      <c r="M53" s="12">
        <f t="shared" si="38"/>
        <v>950</v>
      </c>
      <c r="N53" s="12">
        <f t="shared" si="38"/>
        <v>12931.199999999999</v>
      </c>
      <c r="O53" s="13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34" t="s">
        <v>73</v>
      </c>
      <c r="B54" s="13">
        <v>750</v>
      </c>
      <c r="C54" s="13">
        <v>750</v>
      </c>
      <c r="D54" s="13">
        <v>750</v>
      </c>
      <c r="E54" s="13">
        <v>750</v>
      </c>
      <c r="F54" s="13">
        <v>750</v>
      </c>
      <c r="G54" s="13">
        <v>750</v>
      </c>
      <c r="H54" s="13">
        <v>750</v>
      </c>
      <c r="I54" s="13">
        <v>750</v>
      </c>
      <c r="J54" s="13">
        <v>750</v>
      </c>
      <c r="K54" s="13">
        <v>750</v>
      </c>
      <c r="L54" s="13">
        <v>750</v>
      </c>
      <c r="M54" s="13">
        <v>826.42</v>
      </c>
      <c r="N54" s="112">
        <v>9076.42</v>
      </c>
      <c r="O54" s="13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0" t="s">
        <v>74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19">
        <v>0</v>
      </c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0" t="s">
        <v>75</v>
      </c>
      <c r="B56" s="8"/>
      <c r="C56" s="8"/>
      <c r="D56" s="8"/>
      <c r="E56" s="8"/>
      <c r="F56" s="8"/>
      <c r="G56" s="8">
        <v>97.96</v>
      </c>
      <c r="H56" s="8"/>
      <c r="I56" s="8"/>
      <c r="J56" s="8"/>
      <c r="K56" s="8"/>
      <c r="L56" s="8"/>
      <c r="M56" s="8"/>
      <c r="N56" s="119">
        <v>97.96</v>
      </c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0" t="s">
        <v>76</v>
      </c>
      <c r="B57" s="13">
        <v>103.56</v>
      </c>
      <c r="C57" s="13">
        <v>106.46</v>
      </c>
      <c r="D57" s="13">
        <v>118.44</v>
      </c>
      <c r="E57" s="13">
        <v>165.13</v>
      </c>
      <c r="F57" s="13">
        <v>167.55</v>
      </c>
      <c r="G57" s="13">
        <v>163.69999999999999</v>
      </c>
      <c r="H57" s="13">
        <v>126.24</v>
      </c>
      <c r="I57" s="13">
        <v>93.22</v>
      </c>
      <c r="J57" s="13">
        <v>109.01</v>
      </c>
      <c r="K57" s="13">
        <v>135.97</v>
      </c>
      <c r="L57" s="13">
        <v>132.30000000000001</v>
      </c>
      <c r="M57" s="13">
        <v>145.02000000000001</v>
      </c>
      <c r="N57" s="20">
        <v>1566.6</v>
      </c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0" t="s">
        <v>77</v>
      </c>
      <c r="B58" s="13">
        <v>5.37</v>
      </c>
      <c r="C58" s="13">
        <v>4.29</v>
      </c>
      <c r="D58" s="13">
        <v>8.0500000000000007</v>
      </c>
      <c r="E58" s="13"/>
      <c r="F58" s="13">
        <v>1.28</v>
      </c>
      <c r="G58" s="13">
        <v>6.45</v>
      </c>
      <c r="H58" s="13">
        <v>4.21</v>
      </c>
      <c r="I58" s="13">
        <v>6.89</v>
      </c>
      <c r="J58" s="13">
        <v>8.43</v>
      </c>
      <c r="K58" s="13">
        <v>4.3899999999999997</v>
      </c>
      <c r="L58" s="13"/>
      <c r="M58" s="13">
        <v>8.4499999999999993</v>
      </c>
      <c r="N58" s="13">
        <v>57.81</v>
      </c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0" t="s">
        <v>78</v>
      </c>
      <c r="B59" s="13">
        <v>37.72</v>
      </c>
      <c r="C59" s="13">
        <v>45.04</v>
      </c>
      <c r="D59" s="13">
        <v>57.61</v>
      </c>
      <c r="E59" s="13">
        <v>66.67</v>
      </c>
      <c r="F59" s="13">
        <v>60.27</v>
      </c>
      <c r="G59" s="13">
        <v>53.63</v>
      </c>
      <c r="H59" s="13">
        <v>68.11</v>
      </c>
      <c r="I59" s="13">
        <v>95.96</v>
      </c>
      <c r="J59" s="13">
        <v>76.75</v>
      </c>
      <c r="K59" s="13">
        <v>110.66</v>
      </c>
      <c r="L59" s="13">
        <v>75.95</v>
      </c>
      <c r="M59" s="13">
        <v>74.930000000000007</v>
      </c>
      <c r="N59" s="13">
        <v>823.3</v>
      </c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0" t="s">
        <v>79</v>
      </c>
      <c r="B60" s="13">
        <v>341.6</v>
      </c>
      <c r="C60" s="13">
        <v>434.18</v>
      </c>
      <c r="D60" s="13">
        <v>342.85</v>
      </c>
      <c r="E60" s="13">
        <v>287.10000000000002</v>
      </c>
      <c r="F60" s="13">
        <v>378.43</v>
      </c>
      <c r="G60" s="13">
        <v>313.27999999999997</v>
      </c>
      <c r="H60" s="13">
        <v>383.68</v>
      </c>
      <c r="I60" s="13">
        <v>497.99</v>
      </c>
      <c r="J60" s="13">
        <v>434.05</v>
      </c>
      <c r="K60" s="13">
        <v>455.43</v>
      </c>
      <c r="L60" s="13">
        <v>380.1</v>
      </c>
      <c r="M60" s="13">
        <v>361.43</v>
      </c>
      <c r="N60" s="20">
        <v>4610.12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0" t="s">
        <v>80</v>
      </c>
      <c r="B61" s="12">
        <f>SUM(B57:B60)</f>
        <v>488.25</v>
      </c>
      <c r="C61" s="12">
        <f t="shared" ref="C61:N61" si="39">SUM(C57:C60)</f>
        <v>589.97</v>
      </c>
      <c r="D61" s="12">
        <f t="shared" si="39"/>
        <v>526.95000000000005</v>
      </c>
      <c r="E61" s="12">
        <f t="shared" si="39"/>
        <v>518.90000000000009</v>
      </c>
      <c r="F61" s="12">
        <f t="shared" si="39"/>
        <v>607.53</v>
      </c>
      <c r="G61" s="12">
        <f t="shared" si="39"/>
        <v>537.05999999999995</v>
      </c>
      <c r="H61" s="12">
        <f t="shared" si="39"/>
        <v>582.24</v>
      </c>
      <c r="I61" s="12">
        <f t="shared" si="39"/>
        <v>694.06</v>
      </c>
      <c r="J61" s="12">
        <f t="shared" si="39"/>
        <v>628.24</v>
      </c>
      <c r="K61" s="12">
        <f t="shared" si="39"/>
        <v>706.45</v>
      </c>
      <c r="L61" s="12">
        <f t="shared" si="39"/>
        <v>588.35</v>
      </c>
      <c r="M61" s="12">
        <f t="shared" si="39"/>
        <v>589.83000000000004</v>
      </c>
      <c r="N61" s="12">
        <f t="shared" si="39"/>
        <v>7057.83</v>
      </c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0" t="s">
        <v>81</v>
      </c>
      <c r="B62" s="8"/>
      <c r="C62" s="8"/>
      <c r="D62" s="8"/>
      <c r="E62" s="8"/>
      <c r="F62" s="13"/>
      <c r="G62" s="8">
        <v>74</v>
      </c>
      <c r="H62" s="13"/>
      <c r="I62" s="8"/>
      <c r="J62" s="13"/>
      <c r="K62" s="13"/>
      <c r="L62" s="13"/>
      <c r="M62" s="13">
        <v>100</v>
      </c>
      <c r="N62" s="119">
        <v>174</v>
      </c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0" t="s">
        <v>82</v>
      </c>
      <c r="B63" s="13">
        <v>17.32</v>
      </c>
      <c r="C63" s="13">
        <v>29.63</v>
      </c>
      <c r="D63" s="13">
        <v>9.66</v>
      </c>
      <c r="E63" s="13">
        <v>151.71</v>
      </c>
      <c r="F63" s="13">
        <v>76.55</v>
      </c>
      <c r="G63" s="13">
        <v>42.97</v>
      </c>
      <c r="H63" s="13">
        <v>86.55</v>
      </c>
      <c r="I63" s="13">
        <v>29.15</v>
      </c>
      <c r="J63" s="13">
        <v>2</v>
      </c>
      <c r="K63" s="13">
        <v>44.21</v>
      </c>
      <c r="L63" s="13">
        <v>56.25</v>
      </c>
      <c r="M63" s="13">
        <v>128.94</v>
      </c>
      <c r="N63" s="11">
        <v>674.94</v>
      </c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0" t="s">
        <v>83</v>
      </c>
      <c r="B64" s="13">
        <v>110</v>
      </c>
      <c r="C64" s="8"/>
      <c r="D64" s="13">
        <v>168.98</v>
      </c>
      <c r="E64" s="13">
        <v>261.29000000000002</v>
      </c>
      <c r="F64" s="8"/>
      <c r="G64" s="8"/>
      <c r="H64" s="8"/>
      <c r="I64" s="8"/>
      <c r="J64" s="13">
        <v>187.75</v>
      </c>
      <c r="K64" s="8"/>
      <c r="L64" s="13">
        <v>36</v>
      </c>
      <c r="M64" s="8"/>
      <c r="N64" s="11">
        <v>764.02</v>
      </c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0" t="s">
        <v>84</v>
      </c>
      <c r="B65" s="8"/>
      <c r="C65" s="8"/>
      <c r="D65" s="8"/>
      <c r="E65" s="8"/>
      <c r="F65" s="8"/>
      <c r="G65" s="8"/>
      <c r="H65" s="8">
        <v>26.13</v>
      </c>
      <c r="I65" s="8"/>
      <c r="J65" s="8"/>
      <c r="K65" s="8"/>
      <c r="L65" s="13"/>
      <c r="M65" s="8"/>
      <c r="N65" s="11">
        <v>26.13</v>
      </c>
      <c r="O65" s="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0" t="s">
        <v>85</v>
      </c>
      <c r="B66" s="8">
        <v>175</v>
      </c>
      <c r="C66" s="8">
        <v>175</v>
      </c>
      <c r="D66" s="8">
        <v>393.84</v>
      </c>
      <c r="E66" s="8">
        <v>175</v>
      </c>
      <c r="F66" s="8">
        <v>175</v>
      </c>
      <c r="G66" s="8">
        <v>175</v>
      </c>
      <c r="H66" s="8">
        <v>175</v>
      </c>
      <c r="I66" s="8">
        <v>175</v>
      </c>
      <c r="J66" s="8">
        <v>175</v>
      </c>
      <c r="K66" s="8">
        <v>175</v>
      </c>
      <c r="L66" s="8">
        <v>175</v>
      </c>
      <c r="M66" s="8">
        <v>175</v>
      </c>
      <c r="N66" s="120">
        <v>2318.84</v>
      </c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0" t="s">
        <v>86</v>
      </c>
      <c r="B67" s="13">
        <v>91.66</v>
      </c>
      <c r="C67" s="13">
        <v>91.66</v>
      </c>
      <c r="D67" s="13">
        <v>91.66</v>
      </c>
      <c r="E67" s="13">
        <v>91.66</v>
      </c>
      <c r="F67" s="13">
        <v>91.66</v>
      </c>
      <c r="G67" s="13">
        <v>91.66</v>
      </c>
      <c r="H67" s="13">
        <v>91.66</v>
      </c>
      <c r="I67" s="13">
        <v>123.25</v>
      </c>
      <c r="J67" s="13">
        <v>91.66</v>
      </c>
      <c r="K67" s="13">
        <v>91.66</v>
      </c>
      <c r="L67" s="13">
        <v>91.66</v>
      </c>
      <c r="M67" s="13">
        <v>91.66</v>
      </c>
      <c r="N67" s="120">
        <v>1131.51</v>
      </c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0" t="s">
        <v>87</v>
      </c>
      <c r="B68" s="8">
        <v>1.07</v>
      </c>
      <c r="C68" s="8">
        <v>2.0499999999999998</v>
      </c>
      <c r="D68" s="13">
        <v>20.07</v>
      </c>
      <c r="E68" s="8">
        <v>7.06</v>
      </c>
      <c r="F68" s="8">
        <v>22.14</v>
      </c>
      <c r="G68" s="8">
        <v>30.04</v>
      </c>
      <c r="H68" s="8">
        <v>5.56</v>
      </c>
      <c r="I68" s="8">
        <v>4.87</v>
      </c>
      <c r="J68" s="8">
        <v>51.55</v>
      </c>
      <c r="K68" s="8">
        <v>58.65</v>
      </c>
      <c r="L68" s="8">
        <v>40.549999999999997</v>
      </c>
      <c r="M68" s="21">
        <v>1958.45</v>
      </c>
      <c r="N68" s="120">
        <v>2202.06</v>
      </c>
      <c r="O68" s="14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0" t="s">
        <v>88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0" t="s">
        <v>89</v>
      </c>
      <c r="B70" s="13"/>
      <c r="C70" s="13"/>
      <c r="D70" s="13"/>
      <c r="E70" s="13"/>
      <c r="F70" s="20">
        <v>1700</v>
      </c>
      <c r="G70" s="13"/>
      <c r="H70" s="13"/>
      <c r="I70" s="13">
        <v>131.05000000000001</v>
      </c>
      <c r="J70" s="13"/>
      <c r="K70" s="13"/>
      <c r="L70" s="13"/>
      <c r="M70" s="13"/>
      <c r="N70" s="20">
        <f>SUM(B70:M70)</f>
        <v>1831.05</v>
      </c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0" t="s">
        <v>90</v>
      </c>
      <c r="B71" s="13">
        <v>257.54000000000002</v>
      </c>
      <c r="C71" s="13">
        <v>659.94</v>
      </c>
      <c r="D71" s="13">
        <v>808.54</v>
      </c>
      <c r="E71" s="13">
        <v>363.98</v>
      </c>
      <c r="F71" s="13">
        <v>409.63</v>
      </c>
      <c r="G71" s="13">
        <v>245.29</v>
      </c>
      <c r="H71" s="13">
        <v>381.06</v>
      </c>
      <c r="I71" s="13">
        <v>289.06</v>
      </c>
      <c r="J71" s="13">
        <v>276.48</v>
      </c>
      <c r="K71" s="13">
        <v>276.06</v>
      </c>
      <c r="L71" s="13">
        <v>275.38</v>
      </c>
      <c r="M71" s="13">
        <v>200.19</v>
      </c>
      <c r="N71" s="20">
        <f t="shared" ref="N71:N72" si="40">SUM(B71:M71)</f>
        <v>4443.1499999999996</v>
      </c>
      <c r="O71" s="8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0" t="s">
        <v>91</v>
      </c>
      <c r="B72" s="13"/>
      <c r="C72" s="13"/>
      <c r="D72" s="13"/>
      <c r="E72" s="13"/>
      <c r="F72" s="13">
        <v>150.22</v>
      </c>
      <c r="G72" s="13"/>
      <c r="H72" s="13"/>
      <c r="I72" s="13"/>
      <c r="J72" s="13"/>
      <c r="K72" s="13"/>
      <c r="L72" s="13"/>
      <c r="M72" s="13"/>
      <c r="N72" s="20">
        <f t="shared" si="40"/>
        <v>150.22</v>
      </c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0" t="s">
        <v>92</v>
      </c>
      <c r="B73" s="12">
        <f>SUM(B69:B72)</f>
        <v>257.54000000000002</v>
      </c>
      <c r="C73" s="12">
        <f t="shared" ref="C73:N73" si="41">SUM(C69:C72)</f>
        <v>659.94</v>
      </c>
      <c r="D73" s="12">
        <f t="shared" si="41"/>
        <v>808.54</v>
      </c>
      <c r="E73" s="12">
        <f t="shared" si="41"/>
        <v>363.98</v>
      </c>
      <c r="F73" s="12">
        <f t="shared" si="41"/>
        <v>2259.85</v>
      </c>
      <c r="G73" s="12">
        <f t="shared" si="41"/>
        <v>245.29</v>
      </c>
      <c r="H73" s="12">
        <f t="shared" si="41"/>
        <v>381.06</v>
      </c>
      <c r="I73" s="12">
        <f t="shared" si="41"/>
        <v>420.11</v>
      </c>
      <c r="J73" s="12">
        <f t="shared" si="41"/>
        <v>276.48</v>
      </c>
      <c r="K73" s="12">
        <f t="shared" si="41"/>
        <v>276.06</v>
      </c>
      <c r="L73" s="12">
        <f t="shared" si="41"/>
        <v>275.38</v>
      </c>
      <c r="M73" s="12">
        <f t="shared" si="41"/>
        <v>200.19</v>
      </c>
      <c r="N73" s="12">
        <f t="shared" si="41"/>
        <v>6424.42</v>
      </c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0" t="s">
        <v>93</v>
      </c>
      <c r="B74" s="8">
        <v>100</v>
      </c>
      <c r="C74" s="8">
        <v>100</v>
      </c>
      <c r="D74" s="8">
        <v>310.24</v>
      </c>
      <c r="E74" s="8">
        <v>100</v>
      </c>
      <c r="F74" s="8">
        <v>100</v>
      </c>
      <c r="G74" s="8">
        <v>100</v>
      </c>
      <c r="H74" s="8">
        <v>100</v>
      </c>
      <c r="I74" s="8">
        <v>100</v>
      </c>
      <c r="J74" s="8">
        <v>100</v>
      </c>
      <c r="K74" s="8">
        <v>100</v>
      </c>
      <c r="L74" s="8">
        <v>100</v>
      </c>
      <c r="M74" s="8">
        <v>202.09</v>
      </c>
      <c r="N74" s="112">
        <f>SUM(B74:M74)</f>
        <v>1512.33</v>
      </c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0" t="s">
        <v>94</v>
      </c>
      <c r="B75" s="13"/>
      <c r="C75" s="13"/>
      <c r="D75" s="13"/>
      <c r="E75" s="13"/>
      <c r="F75" s="13">
        <v>179.66</v>
      </c>
      <c r="G75" s="13"/>
      <c r="H75" s="13"/>
      <c r="I75" s="13"/>
      <c r="J75" s="13"/>
      <c r="K75" s="13"/>
      <c r="L75" s="13"/>
      <c r="M75" s="13"/>
      <c r="N75" s="20">
        <f t="shared" ref="N75:N77" si="42">SUM(B75:M75)</f>
        <v>179.66</v>
      </c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0" t="s">
        <v>95</v>
      </c>
      <c r="B76" s="13">
        <v>75.3</v>
      </c>
      <c r="C76" s="13">
        <v>22.85</v>
      </c>
      <c r="D76" s="13">
        <v>106.12</v>
      </c>
      <c r="E76" s="13">
        <v>107.83</v>
      </c>
      <c r="F76" s="13">
        <v>175.05</v>
      </c>
      <c r="G76" s="13">
        <v>90.05</v>
      </c>
      <c r="H76" s="13">
        <v>101.23</v>
      </c>
      <c r="I76" s="13">
        <v>136.94</v>
      </c>
      <c r="J76" s="13">
        <v>121.28</v>
      </c>
      <c r="K76" s="13">
        <v>181.91</v>
      </c>
      <c r="L76" s="13">
        <v>192.41</v>
      </c>
      <c r="M76" s="13">
        <v>148.4</v>
      </c>
      <c r="N76" s="20">
        <f t="shared" si="42"/>
        <v>1459.3700000000003</v>
      </c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0" t="s">
        <v>96</v>
      </c>
      <c r="B77" s="13">
        <v>428.76</v>
      </c>
      <c r="C77" s="13">
        <v>457.94</v>
      </c>
      <c r="D77" s="13">
        <v>505.56</v>
      </c>
      <c r="E77" s="13">
        <v>539.97</v>
      </c>
      <c r="F77" s="13">
        <v>497.88</v>
      </c>
      <c r="G77" s="13">
        <v>455.6</v>
      </c>
      <c r="H77" s="13">
        <v>447.19</v>
      </c>
      <c r="I77" s="13">
        <v>543.97</v>
      </c>
      <c r="J77" s="13">
        <v>559.33000000000004</v>
      </c>
      <c r="K77" s="13">
        <v>592.37</v>
      </c>
      <c r="L77" s="13">
        <v>574.14</v>
      </c>
      <c r="M77" s="13">
        <v>459.48</v>
      </c>
      <c r="N77" s="20">
        <f t="shared" si="42"/>
        <v>6062.1900000000005</v>
      </c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0" t="s">
        <v>97</v>
      </c>
      <c r="B78" s="12">
        <f>SUM(B75:B77)</f>
        <v>504.06</v>
      </c>
      <c r="C78" s="12">
        <f t="shared" ref="C78:M78" si="43">SUM(C75:C77)</f>
        <v>480.79</v>
      </c>
      <c r="D78" s="12">
        <f t="shared" si="43"/>
        <v>611.68000000000006</v>
      </c>
      <c r="E78" s="12">
        <f t="shared" si="43"/>
        <v>647.80000000000007</v>
      </c>
      <c r="F78" s="12">
        <f t="shared" si="43"/>
        <v>852.59</v>
      </c>
      <c r="G78" s="12">
        <f t="shared" si="43"/>
        <v>545.65</v>
      </c>
      <c r="H78" s="12">
        <f t="shared" si="43"/>
        <v>548.41999999999996</v>
      </c>
      <c r="I78" s="12">
        <f t="shared" si="43"/>
        <v>680.91000000000008</v>
      </c>
      <c r="J78" s="12">
        <f t="shared" si="43"/>
        <v>680.61</v>
      </c>
      <c r="K78" s="12">
        <f t="shared" si="43"/>
        <v>774.28</v>
      </c>
      <c r="L78" s="12">
        <f t="shared" si="43"/>
        <v>766.55</v>
      </c>
      <c r="M78" s="12">
        <f t="shared" si="43"/>
        <v>607.88</v>
      </c>
      <c r="N78" s="12">
        <f>SUM(N75:N77)</f>
        <v>7701.2200000000012</v>
      </c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0" t="s">
        <v>98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13"/>
      <c r="O79" s="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29" t="s">
        <v>99</v>
      </c>
      <c r="B80" s="21">
        <v>1618.95</v>
      </c>
      <c r="C80" s="21">
        <v>1618.95</v>
      </c>
      <c r="D80" s="21">
        <v>1618.95</v>
      </c>
      <c r="E80" s="21">
        <v>1618.95</v>
      </c>
      <c r="F80" s="21">
        <v>1618.95</v>
      </c>
      <c r="G80" s="21">
        <v>1618.95</v>
      </c>
      <c r="H80" s="21">
        <v>1618.95</v>
      </c>
      <c r="I80" s="21">
        <v>2218.98</v>
      </c>
      <c r="J80" s="21">
        <v>1618.95</v>
      </c>
      <c r="K80" s="21">
        <v>1618.95</v>
      </c>
      <c r="L80" s="21">
        <v>1618.95</v>
      </c>
      <c r="M80" s="21">
        <v>2218.98</v>
      </c>
      <c r="N80" s="20">
        <f>SUM(B80:M80)</f>
        <v>20627.460000000003</v>
      </c>
      <c r="O80" s="14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0" t="s">
        <v>100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20">
        <f t="shared" ref="N81:N84" si="44">SUM(B81:M81)</f>
        <v>0</v>
      </c>
      <c r="O81" s="14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0" t="s">
        <v>101</v>
      </c>
      <c r="B82" s="21">
        <v>1400</v>
      </c>
      <c r="C82" s="21">
        <v>1400</v>
      </c>
      <c r="D82" s="21">
        <v>1400</v>
      </c>
      <c r="E82" s="21">
        <v>1900</v>
      </c>
      <c r="F82" s="21">
        <v>1400</v>
      </c>
      <c r="G82" s="21">
        <v>1400</v>
      </c>
      <c r="H82" s="21">
        <v>1400</v>
      </c>
      <c r="I82" s="21">
        <v>1400</v>
      </c>
      <c r="J82" s="21">
        <v>1581.37</v>
      </c>
      <c r="K82" s="21">
        <v>1400</v>
      </c>
      <c r="L82" s="21">
        <v>1400</v>
      </c>
      <c r="M82" s="21">
        <v>1400</v>
      </c>
      <c r="N82" s="20">
        <f t="shared" si="44"/>
        <v>17481.37</v>
      </c>
      <c r="O82" s="14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0" t="s">
        <v>102</v>
      </c>
      <c r="B83" s="8"/>
      <c r="C83" s="8"/>
      <c r="D83" s="8"/>
      <c r="E83" s="8"/>
      <c r="F83" s="8">
        <v>50</v>
      </c>
      <c r="G83" s="8"/>
      <c r="H83" s="8"/>
      <c r="I83" s="8">
        <v>50</v>
      </c>
      <c r="J83" s="8">
        <v>16</v>
      </c>
      <c r="K83" s="8"/>
      <c r="L83" s="8"/>
      <c r="M83" s="8"/>
      <c r="N83" s="20">
        <f t="shared" si="44"/>
        <v>116</v>
      </c>
      <c r="O83" s="14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0" t="s">
        <v>103</v>
      </c>
      <c r="B84" s="8">
        <v>178.33</v>
      </c>
      <c r="C84" s="8">
        <v>178.33</v>
      </c>
      <c r="D84" s="8">
        <v>178.33</v>
      </c>
      <c r="E84" s="8">
        <v>178.33</v>
      </c>
      <c r="F84" s="8">
        <v>178.33</v>
      </c>
      <c r="G84" s="8">
        <v>178.33</v>
      </c>
      <c r="H84" s="8">
        <v>178.33</v>
      </c>
      <c r="I84" s="8">
        <v>178.33</v>
      </c>
      <c r="J84" s="8">
        <v>178.33</v>
      </c>
      <c r="K84" s="8">
        <v>178.33</v>
      </c>
      <c r="L84" s="8">
        <v>178.33</v>
      </c>
      <c r="M84" s="8">
        <v>178.33</v>
      </c>
      <c r="N84" s="20">
        <f t="shared" si="44"/>
        <v>2139.9599999999996</v>
      </c>
      <c r="O84" s="14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7" t="s">
        <v>104</v>
      </c>
      <c r="B85" s="12">
        <f>SUM(B80:B84)</f>
        <v>3197.2799999999997</v>
      </c>
      <c r="C85" s="12">
        <f t="shared" ref="C85:M85" si="45">SUM(C80:C84)</f>
        <v>3197.2799999999997</v>
      </c>
      <c r="D85" s="12">
        <f t="shared" si="45"/>
        <v>3197.2799999999997</v>
      </c>
      <c r="E85" s="12">
        <f t="shared" si="45"/>
        <v>3697.2799999999997</v>
      </c>
      <c r="F85" s="12">
        <f t="shared" si="45"/>
        <v>3247.2799999999997</v>
      </c>
      <c r="G85" s="12">
        <f t="shared" si="45"/>
        <v>3197.2799999999997</v>
      </c>
      <c r="H85" s="12">
        <f t="shared" si="45"/>
        <v>3197.2799999999997</v>
      </c>
      <c r="I85" s="12">
        <f t="shared" si="45"/>
        <v>3847.31</v>
      </c>
      <c r="J85" s="12">
        <f t="shared" si="45"/>
        <v>3394.6499999999996</v>
      </c>
      <c r="K85" s="12">
        <f t="shared" si="45"/>
        <v>3197.2799999999997</v>
      </c>
      <c r="L85" s="12">
        <f t="shared" si="45"/>
        <v>3197.2799999999997</v>
      </c>
      <c r="M85" s="12">
        <f t="shared" si="45"/>
        <v>3797.31</v>
      </c>
      <c r="N85" s="12">
        <f>SUM(N80:N84)</f>
        <v>40364.79</v>
      </c>
      <c r="O85" s="8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0" t="s">
        <v>105</v>
      </c>
      <c r="B86" s="8"/>
      <c r="C86" s="8"/>
      <c r="D86" s="8"/>
      <c r="E86" s="8"/>
      <c r="F86" s="13"/>
      <c r="G86" s="8">
        <v>120</v>
      </c>
      <c r="H86" s="13"/>
      <c r="I86" s="13"/>
      <c r="J86" s="13">
        <v>54</v>
      </c>
      <c r="K86" s="13"/>
      <c r="L86" s="8"/>
      <c r="M86" s="13"/>
      <c r="N86" s="119">
        <f>SUM(B86:M86)</f>
        <v>174</v>
      </c>
      <c r="O86" s="14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0" t="s">
        <v>106</v>
      </c>
      <c r="B87" s="8"/>
      <c r="C87" s="8"/>
      <c r="D87" s="20">
        <v>1374.46</v>
      </c>
      <c r="E87" s="8"/>
      <c r="F87" s="8"/>
      <c r="G87" s="8"/>
      <c r="H87" s="8"/>
      <c r="I87" s="13">
        <v>226.99</v>
      </c>
      <c r="J87" s="8"/>
      <c r="K87" s="13"/>
      <c r="L87" s="13"/>
      <c r="M87" s="13"/>
      <c r="N87" s="119">
        <f t="shared" ref="N87:N92" si="46">SUM(B87:M87)</f>
        <v>1601.45</v>
      </c>
      <c r="O87" s="14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0" t="s">
        <v>107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19">
        <f t="shared" si="46"/>
        <v>0</v>
      </c>
      <c r="O88" s="14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0" t="s">
        <v>108</v>
      </c>
      <c r="B89" s="8">
        <v>935</v>
      </c>
      <c r="C89" s="8">
        <v>935</v>
      </c>
      <c r="D89" s="8">
        <v>935</v>
      </c>
      <c r="E89" s="8">
        <v>935</v>
      </c>
      <c r="F89" s="8">
        <v>935</v>
      </c>
      <c r="G89" s="8">
        <v>935</v>
      </c>
      <c r="H89" s="8">
        <v>935</v>
      </c>
      <c r="I89" s="8">
        <v>935</v>
      </c>
      <c r="J89" s="8">
        <v>946.9</v>
      </c>
      <c r="K89" s="8">
        <v>935</v>
      </c>
      <c r="L89" s="8">
        <v>935</v>
      </c>
      <c r="M89" s="8">
        <v>935</v>
      </c>
      <c r="N89" s="119">
        <f t="shared" si="46"/>
        <v>11231.9</v>
      </c>
      <c r="O89" s="14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0" t="s">
        <v>109</v>
      </c>
      <c r="B90" s="13">
        <v>134.32</v>
      </c>
      <c r="C90" s="8">
        <v>47.81</v>
      </c>
      <c r="D90" s="13">
        <v>116.59</v>
      </c>
      <c r="E90" s="13">
        <v>66.67</v>
      </c>
      <c r="F90" s="8">
        <v>60.27</v>
      </c>
      <c r="G90" s="8">
        <v>71.03</v>
      </c>
      <c r="H90" s="8">
        <v>68.11</v>
      </c>
      <c r="I90" s="8">
        <v>95.96</v>
      </c>
      <c r="J90" s="13">
        <v>364.51</v>
      </c>
      <c r="K90" s="8">
        <v>10.66</v>
      </c>
      <c r="L90" s="8">
        <v>75.95</v>
      </c>
      <c r="M90" s="8">
        <v>74.930000000000007</v>
      </c>
      <c r="N90" s="13">
        <f t="shared" si="46"/>
        <v>1186.8100000000002</v>
      </c>
      <c r="O90" s="14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0" t="s">
        <v>110</v>
      </c>
      <c r="B91" s="13"/>
      <c r="C91" s="13"/>
      <c r="D91" s="13"/>
      <c r="E91" s="13"/>
      <c r="F91" s="13">
        <v>66.22</v>
      </c>
      <c r="G91" s="13"/>
      <c r="H91" s="13"/>
      <c r="I91" s="13"/>
      <c r="J91" s="13"/>
      <c r="K91" s="13"/>
      <c r="L91" s="13"/>
      <c r="M91" s="13"/>
      <c r="N91" s="13">
        <f t="shared" si="46"/>
        <v>66.22</v>
      </c>
      <c r="O91" s="14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0" t="s">
        <v>111</v>
      </c>
      <c r="B92" s="13"/>
      <c r="C92" s="8"/>
      <c r="D92" s="13"/>
      <c r="E92" s="13">
        <v>48.45</v>
      </c>
      <c r="F92" s="8"/>
      <c r="G92" s="8"/>
      <c r="H92" s="8">
        <v>110.55</v>
      </c>
      <c r="I92" s="8"/>
      <c r="J92" s="13"/>
      <c r="K92" s="8">
        <v>109.88</v>
      </c>
      <c r="L92" s="8"/>
      <c r="M92" s="8"/>
      <c r="N92" s="13">
        <f t="shared" si="46"/>
        <v>268.88</v>
      </c>
      <c r="O92" s="14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0" t="s">
        <v>112</v>
      </c>
      <c r="B93" s="12">
        <f>SUM(B90:B92)</f>
        <v>134.32</v>
      </c>
      <c r="C93" s="12">
        <f t="shared" ref="C93:M93" si="47">SUM(C90:C92)</f>
        <v>47.81</v>
      </c>
      <c r="D93" s="12">
        <f t="shared" si="47"/>
        <v>116.59</v>
      </c>
      <c r="E93" s="12">
        <f t="shared" si="47"/>
        <v>115.12</v>
      </c>
      <c r="F93" s="12">
        <f t="shared" si="47"/>
        <v>126.49000000000001</v>
      </c>
      <c r="G93" s="12">
        <f t="shared" si="47"/>
        <v>71.03</v>
      </c>
      <c r="H93" s="12">
        <f t="shared" si="47"/>
        <v>178.66</v>
      </c>
      <c r="I93" s="12">
        <f t="shared" si="47"/>
        <v>95.96</v>
      </c>
      <c r="J93" s="12">
        <f t="shared" si="47"/>
        <v>364.51</v>
      </c>
      <c r="K93" s="12">
        <f t="shared" si="47"/>
        <v>120.53999999999999</v>
      </c>
      <c r="L93" s="12">
        <f t="shared" si="47"/>
        <v>75.95</v>
      </c>
      <c r="M93" s="12">
        <f t="shared" si="47"/>
        <v>74.930000000000007</v>
      </c>
      <c r="N93" s="12">
        <f>SUM(N90:N92)</f>
        <v>1521.9100000000003</v>
      </c>
      <c r="O93" s="14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0.100000000000001" customHeight="1" x14ac:dyDescent="0.25">
      <c r="A94" s="10" t="s">
        <v>113</v>
      </c>
      <c r="B94" s="13"/>
      <c r="C94" s="13"/>
      <c r="D94" s="13"/>
      <c r="E94" s="13">
        <v>30</v>
      </c>
      <c r="F94" s="13"/>
      <c r="G94" s="13"/>
      <c r="H94" s="13"/>
      <c r="I94" s="13"/>
      <c r="J94" s="13"/>
      <c r="K94" s="13"/>
      <c r="L94" s="13">
        <v>31.97</v>
      </c>
      <c r="M94" s="13"/>
      <c r="N94" s="119">
        <f>SUM(B94:M94)</f>
        <v>61.97</v>
      </c>
      <c r="O94" s="14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0" t="s">
        <v>114</v>
      </c>
      <c r="B95" s="8"/>
      <c r="C95" s="13">
        <v>323.98</v>
      </c>
      <c r="D95" s="8"/>
      <c r="E95" s="8"/>
      <c r="F95" s="13"/>
      <c r="G95" s="13"/>
      <c r="H95" s="13">
        <v>369.19</v>
      </c>
      <c r="I95" s="13"/>
      <c r="J95" s="13"/>
      <c r="K95" s="14"/>
      <c r="L95" s="13"/>
      <c r="M95" s="13">
        <v>975.53</v>
      </c>
      <c r="N95" s="13">
        <f t="shared" ref="N95:N96" si="48">SUM(B95:M95)</f>
        <v>1668.7</v>
      </c>
      <c r="O95" s="14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0" t="s">
        <v>115</v>
      </c>
      <c r="B96" s="8"/>
      <c r="C96" s="13"/>
      <c r="D96" s="8"/>
      <c r="E96" s="8"/>
      <c r="F96" s="13"/>
      <c r="G96" s="13"/>
      <c r="H96" s="13"/>
      <c r="I96" s="13"/>
      <c r="J96" s="13"/>
      <c r="K96" s="14"/>
      <c r="L96" s="13"/>
      <c r="M96" s="13">
        <v>581.70000000000005</v>
      </c>
      <c r="N96" s="13">
        <f t="shared" si="48"/>
        <v>581.70000000000005</v>
      </c>
      <c r="O96" s="14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0" t="s">
        <v>116</v>
      </c>
      <c r="B97" s="12">
        <f>SUM(B95:B96)</f>
        <v>0</v>
      </c>
      <c r="C97" s="12">
        <f t="shared" ref="C97:N97" si="49">SUM(C95:C96)</f>
        <v>323.98</v>
      </c>
      <c r="D97" s="12">
        <f t="shared" si="49"/>
        <v>0</v>
      </c>
      <c r="E97" s="12">
        <f t="shared" si="49"/>
        <v>0</v>
      </c>
      <c r="F97" s="12">
        <f t="shared" si="49"/>
        <v>0</v>
      </c>
      <c r="G97" s="12">
        <f t="shared" si="49"/>
        <v>0</v>
      </c>
      <c r="H97" s="12">
        <f t="shared" si="49"/>
        <v>369.19</v>
      </c>
      <c r="I97" s="12">
        <f t="shared" si="49"/>
        <v>0</v>
      </c>
      <c r="J97" s="12">
        <f t="shared" si="49"/>
        <v>0</v>
      </c>
      <c r="K97" s="12">
        <f t="shared" si="49"/>
        <v>0</v>
      </c>
      <c r="L97" s="12">
        <f t="shared" si="49"/>
        <v>0</v>
      </c>
      <c r="M97" s="12">
        <f t="shared" si="49"/>
        <v>1557.23</v>
      </c>
      <c r="N97" s="12">
        <f t="shared" si="49"/>
        <v>2250.4</v>
      </c>
      <c r="O97" s="14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0" t="s">
        <v>117</v>
      </c>
      <c r="B98" s="13">
        <v>12.57</v>
      </c>
      <c r="C98" s="13">
        <v>15.01</v>
      </c>
      <c r="D98" s="13">
        <v>19.2</v>
      </c>
      <c r="E98" s="13">
        <v>22.22</v>
      </c>
      <c r="F98" s="13"/>
      <c r="G98" s="13">
        <v>17.87</v>
      </c>
      <c r="H98" s="13">
        <v>27.7</v>
      </c>
      <c r="I98" s="13">
        <v>31.98</v>
      </c>
      <c r="J98" s="13">
        <v>25.58</v>
      </c>
      <c r="K98" s="13">
        <v>36.880000000000003</v>
      </c>
      <c r="L98" s="13">
        <v>25.39</v>
      </c>
      <c r="M98" s="13">
        <v>24.97</v>
      </c>
      <c r="N98" s="11">
        <v>259.37</v>
      </c>
      <c r="O98" s="14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0" t="s">
        <v>118</v>
      </c>
      <c r="B99" s="8"/>
      <c r="C99" s="8"/>
      <c r="D99" s="8"/>
      <c r="E99" s="8"/>
      <c r="F99" s="13"/>
      <c r="G99" s="13"/>
      <c r="H99" s="13"/>
      <c r="I99" s="13"/>
      <c r="J99" s="8"/>
      <c r="K99" s="13"/>
      <c r="L99" s="8"/>
      <c r="M99" s="13"/>
      <c r="N99" s="119">
        <f>SUM(B99:M99)</f>
        <v>0</v>
      </c>
      <c r="O99" s="14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0" t="s">
        <v>119</v>
      </c>
      <c r="B100" s="8"/>
      <c r="C100" s="13"/>
      <c r="D100" s="13"/>
      <c r="E100" s="13">
        <v>690.05</v>
      </c>
      <c r="F100" s="8"/>
      <c r="G100" s="13"/>
      <c r="H100" s="13"/>
      <c r="I100" s="13">
        <v>36.869999999999997</v>
      </c>
      <c r="J100" s="13"/>
      <c r="K100" s="13"/>
      <c r="L100" s="13"/>
      <c r="M100" s="13"/>
      <c r="N100" s="119">
        <f t="shared" ref="N100" si="50">SUM(B100:M100)</f>
        <v>726.92</v>
      </c>
      <c r="O100" s="14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0" t="s">
        <v>120</v>
      </c>
      <c r="B101" s="8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1"/>
      <c r="O101" s="14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0" t="s">
        <v>121</v>
      </c>
      <c r="B102" s="8">
        <v>89.6</v>
      </c>
      <c r="C102" s="8">
        <v>89.6</v>
      </c>
      <c r="D102" s="8">
        <v>89.6</v>
      </c>
      <c r="E102" s="8">
        <v>89.6</v>
      </c>
      <c r="F102" s="8">
        <v>89.6</v>
      </c>
      <c r="G102" s="8">
        <v>89.6</v>
      </c>
      <c r="H102" s="8">
        <v>89.6</v>
      </c>
      <c r="I102" s="8">
        <v>89.6</v>
      </c>
      <c r="J102" s="8">
        <v>89.6</v>
      </c>
      <c r="K102" s="8">
        <v>109.52</v>
      </c>
      <c r="L102" s="8">
        <v>89.6</v>
      </c>
      <c r="M102" s="8">
        <v>89.6</v>
      </c>
      <c r="N102" s="20">
        <v>1095.1199999999999</v>
      </c>
      <c r="O102" s="14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0" t="s">
        <v>122</v>
      </c>
      <c r="B103" s="8">
        <v>133.56</v>
      </c>
      <c r="C103" s="13">
        <v>136.46</v>
      </c>
      <c r="D103" s="13">
        <v>138.44</v>
      </c>
      <c r="E103" s="13">
        <v>115.13</v>
      </c>
      <c r="F103" s="13">
        <v>147.55000000000001</v>
      </c>
      <c r="G103" s="13">
        <v>163.69999999999999</v>
      </c>
      <c r="H103" s="13">
        <v>146.24</v>
      </c>
      <c r="I103" s="13">
        <v>193.22</v>
      </c>
      <c r="J103" s="13">
        <v>159.01</v>
      </c>
      <c r="K103" s="13">
        <v>175.97</v>
      </c>
      <c r="L103" s="13">
        <v>182.3</v>
      </c>
      <c r="M103" s="13">
        <v>151.06</v>
      </c>
      <c r="N103" s="20">
        <v>1842.64</v>
      </c>
      <c r="O103" s="14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0" t="s">
        <v>123</v>
      </c>
      <c r="B104" s="8">
        <v>153.52000000000001</v>
      </c>
      <c r="C104" s="8">
        <v>159.55000000000001</v>
      </c>
      <c r="D104" s="8">
        <v>153.52000000000001</v>
      </c>
      <c r="E104" s="8">
        <v>193.12</v>
      </c>
      <c r="F104" s="8">
        <v>163.12</v>
      </c>
      <c r="G104" s="8">
        <v>153.52000000000001</v>
      </c>
      <c r="H104" s="8">
        <v>168.14</v>
      </c>
      <c r="I104" s="8">
        <v>153.52000000000001</v>
      </c>
      <c r="J104" s="8">
        <v>153.52000000000001</v>
      </c>
      <c r="K104" s="8">
        <v>203.7</v>
      </c>
      <c r="L104" s="8">
        <v>153.52000000000001</v>
      </c>
      <c r="M104" s="8">
        <v>153.51</v>
      </c>
      <c r="N104" s="20">
        <v>1962.26</v>
      </c>
      <c r="O104" s="14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0" t="s">
        <v>124</v>
      </c>
      <c r="B105" s="8">
        <v>44.8</v>
      </c>
      <c r="C105" s="8">
        <v>44.8</v>
      </c>
      <c r="D105" s="8">
        <v>94.25</v>
      </c>
      <c r="E105" s="8">
        <v>48.17</v>
      </c>
      <c r="F105" s="8">
        <v>44.8</v>
      </c>
      <c r="G105" s="8">
        <v>44.8</v>
      </c>
      <c r="H105" s="8">
        <v>44.8</v>
      </c>
      <c r="I105" s="8">
        <v>44.8</v>
      </c>
      <c r="J105" s="8">
        <v>44.8</v>
      </c>
      <c r="K105" s="8">
        <v>44.8</v>
      </c>
      <c r="L105" s="8">
        <v>44.8</v>
      </c>
      <c r="M105" s="8">
        <v>44.79</v>
      </c>
      <c r="N105" s="13">
        <v>590.41</v>
      </c>
      <c r="O105" s="14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0" t="s">
        <v>125</v>
      </c>
      <c r="B106" s="12">
        <f>SUM(B102:B105)</f>
        <v>421.48</v>
      </c>
      <c r="C106" s="12">
        <f t="shared" ref="C106:M106" si="51">SUM(C102:C105)</f>
        <v>430.41</v>
      </c>
      <c r="D106" s="12">
        <f t="shared" si="51"/>
        <v>475.81</v>
      </c>
      <c r="E106" s="12">
        <f t="shared" si="51"/>
        <v>446.02000000000004</v>
      </c>
      <c r="F106" s="12">
        <f t="shared" si="51"/>
        <v>445.07</v>
      </c>
      <c r="G106" s="12">
        <f t="shared" si="51"/>
        <v>451.62</v>
      </c>
      <c r="H106" s="12">
        <f t="shared" si="51"/>
        <v>448.78000000000003</v>
      </c>
      <c r="I106" s="12">
        <f t="shared" si="51"/>
        <v>481.14000000000004</v>
      </c>
      <c r="J106" s="12">
        <f t="shared" si="51"/>
        <v>446.93</v>
      </c>
      <c r="K106" s="12">
        <f t="shared" si="51"/>
        <v>533.99</v>
      </c>
      <c r="L106" s="12">
        <f t="shared" si="51"/>
        <v>470.21999999999997</v>
      </c>
      <c r="M106" s="12">
        <f t="shared" si="51"/>
        <v>438.96</v>
      </c>
      <c r="N106" s="12">
        <f>SUM(N102:N105)</f>
        <v>5490.43</v>
      </c>
      <c r="O106" s="14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7" t="s">
        <v>126</v>
      </c>
      <c r="B107" s="12">
        <f>B53+B54+B55+B56+B61+B62+B63+B64+B65+B66+B67+B68+B73+B74+B78+B85+B86+B87+B88+B89+B93+B94+B97+B98+B99+B100+B106</f>
        <v>7945.5499999999993</v>
      </c>
      <c r="C107" s="12">
        <f t="shared" ref="C107:N107" si="52">C53+C54+C55+C56+C61+C62+C63+C64+C65+C66+C67+C68+C73+C74+C78+C85+C86+C87+C88+C89+C93+C94+C97+C98+C99+C100+C106</f>
        <v>10259.73</v>
      </c>
      <c r="D107" s="12">
        <f t="shared" si="52"/>
        <v>10811.51</v>
      </c>
      <c r="E107" s="12">
        <f t="shared" si="52"/>
        <v>9911.74</v>
      </c>
      <c r="F107" s="12">
        <f t="shared" si="52"/>
        <v>10729.71</v>
      </c>
      <c r="G107" s="12">
        <f t="shared" si="52"/>
        <v>8421.2199999999993</v>
      </c>
      <c r="H107" s="12">
        <f t="shared" si="52"/>
        <v>8696.2000000000007</v>
      </c>
      <c r="I107" s="12">
        <f t="shared" si="52"/>
        <v>10320.989999999998</v>
      </c>
      <c r="J107" s="12">
        <f t="shared" si="52"/>
        <v>9031.51</v>
      </c>
      <c r="K107" s="12">
        <f t="shared" si="52"/>
        <v>8619.5499999999993</v>
      </c>
      <c r="L107" s="12">
        <f t="shared" si="52"/>
        <v>8369.4500000000007</v>
      </c>
      <c r="M107" s="12">
        <f t="shared" si="52"/>
        <v>12658.859999999999</v>
      </c>
      <c r="N107" s="12">
        <f t="shared" si="52"/>
        <v>115776.01999999999</v>
      </c>
      <c r="O107" s="14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0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4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0" t="s">
        <v>127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4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0" t="s">
        <v>128</v>
      </c>
      <c r="B110" s="13">
        <v>4.12</v>
      </c>
      <c r="C110" s="8">
        <v>4.2</v>
      </c>
      <c r="D110" s="13">
        <v>4.8899999999999997</v>
      </c>
      <c r="E110" s="13">
        <v>4.18</v>
      </c>
      <c r="F110" s="8">
        <v>1.87</v>
      </c>
      <c r="G110" s="8">
        <v>1.56</v>
      </c>
      <c r="H110" s="8">
        <v>1.41</v>
      </c>
      <c r="I110" s="8">
        <v>4.58</v>
      </c>
      <c r="J110" s="13">
        <v>3.44</v>
      </c>
      <c r="K110" s="8">
        <v>5.41</v>
      </c>
      <c r="L110" s="8">
        <v>8.57</v>
      </c>
      <c r="M110" s="8">
        <v>5.66</v>
      </c>
      <c r="N110" s="13">
        <v>49.89</v>
      </c>
      <c r="O110" s="14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0" t="s">
        <v>129</v>
      </c>
      <c r="B111" s="12">
        <v>4.12</v>
      </c>
      <c r="C111" s="12">
        <v>4.2</v>
      </c>
      <c r="D111" s="12">
        <v>4.8899999999999997</v>
      </c>
      <c r="E111" s="12">
        <v>4.18</v>
      </c>
      <c r="F111" s="12">
        <v>1.87</v>
      </c>
      <c r="G111" s="12">
        <v>1.56</v>
      </c>
      <c r="H111" s="12">
        <v>1.41</v>
      </c>
      <c r="I111" s="12">
        <v>4.58</v>
      </c>
      <c r="J111" s="12">
        <v>3.44</v>
      </c>
      <c r="K111" s="12">
        <v>5.41</v>
      </c>
      <c r="L111" s="12">
        <v>8.57</v>
      </c>
      <c r="M111" s="12">
        <v>5.66</v>
      </c>
      <c r="N111" s="12">
        <v>49.89</v>
      </c>
      <c r="O111" s="14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0" t="s">
        <v>130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4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0" t="s">
        <v>131</v>
      </c>
      <c r="B113" s="8"/>
      <c r="C113" s="8"/>
      <c r="D113" s="8"/>
      <c r="E113" s="13"/>
      <c r="F113" s="13"/>
      <c r="G113" s="8">
        <v>150</v>
      </c>
      <c r="H113" s="8"/>
      <c r="I113" s="8">
        <v>53.89</v>
      </c>
      <c r="J113" s="8">
        <v>48.14</v>
      </c>
      <c r="K113" s="8"/>
      <c r="L113" s="13"/>
      <c r="M113" s="8"/>
      <c r="N113" s="13">
        <v>252.03</v>
      </c>
      <c r="O113" s="14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0" t="s">
        <v>132</v>
      </c>
      <c r="B114" s="8"/>
      <c r="C114" s="8"/>
      <c r="D114" s="8"/>
      <c r="E114" s="8">
        <v>-0.02</v>
      </c>
      <c r="F114" s="8"/>
      <c r="G114" s="8"/>
      <c r="H114" s="8"/>
      <c r="I114" s="13"/>
      <c r="J114" s="8"/>
      <c r="K114" s="8"/>
      <c r="L114" s="8"/>
      <c r="M114" s="8"/>
      <c r="N114" s="13">
        <v>-0.02</v>
      </c>
      <c r="O114" s="14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0" t="s">
        <v>133</v>
      </c>
      <c r="B115" s="12">
        <v>0</v>
      </c>
      <c r="C115" s="12">
        <v>0</v>
      </c>
      <c r="D115" s="12">
        <v>0</v>
      </c>
      <c r="E115" s="12">
        <v>-0.02</v>
      </c>
      <c r="F115" s="12">
        <v>0</v>
      </c>
      <c r="G115" s="12">
        <v>150</v>
      </c>
      <c r="H115" s="12">
        <v>0</v>
      </c>
      <c r="I115" s="12">
        <v>53.89</v>
      </c>
      <c r="J115" s="12">
        <v>48.14</v>
      </c>
      <c r="K115" s="12">
        <v>0</v>
      </c>
      <c r="L115" s="12">
        <v>0</v>
      </c>
      <c r="M115" s="12">
        <v>0</v>
      </c>
      <c r="N115" s="12">
        <v>252.01</v>
      </c>
      <c r="O115" s="14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0" t="s">
        <v>134</v>
      </c>
      <c r="B116" s="12">
        <f>B45-B107+B111-B115</f>
        <v>-1522.2899999999963</v>
      </c>
      <c r="C116" s="12">
        <f t="shared" ref="C116:N116" si="53">C45-C107+C111-C115</f>
        <v>241.59999999999781</v>
      </c>
      <c r="D116" s="12">
        <f t="shared" si="53"/>
        <v>-4027.8000000000006</v>
      </c>
      <c r="E116" s="12">
        <f t="shared" si="53"/>
        <v>-4556.2100000000009</v>
      </c>
      <c r="F116" s="12">
        <f t="shared" si="53"/>
        <v>-385.15999999999519</v>
      </c>
      <c r="G116" s="12">
        <f t="shared" si="53"/>
        <v>-3114.7499999999995</v>
      </c>
      <c r="H116" s="12">
        <f t="shared" si="53"/>
        <v>-3784.5699999999997</v>
      </c>
      <c r="I116" s="12">
        <f t="shared" si="53"/>
        <v>-2746.1199999999976</v>
      </c>
      <c r="J116" s="12">
        <f t="shared" si="53"/>
        <v>1062.1399999999983</v>
      </c>
      <c r="K116" s="12">
        <f t="shared" si="53"/>
        <v>2623.2100000000028</v>
      </c>
      <c r="L116" s="12">
        <f t="shared" si="53"/>
        <v>6310.8700000000063</v>
      </c>
      <c r="M116" s="12">
        <f t="shared" si="53"/>
        <v>-1741.129999999999</v>
      </c>
      <c r="N116" s="12">
        <f t="shared" si="53"/>
        <v>-11640.209999999939</v>
      </c>
      <c r="O116" s="14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7" t="s">
        <v>135</v>
      </c>
      <c r="B117" s="22">
        <f t="shared" ref="B117:N117" si="54">B116/B22</f>
        <v>-6.6805958202006785E-2</v>
      </c>
      <c r="C117" s="22">
        <f t="shared" si="54"/>
        <v>8.8455366469191218E-3</v>
      </c>
      <c r="D117" s="22">
        <f t="shared" si="54"/>
        <v>-0.1671548483538082</v>
      </c>
      <c r="E117" s="22">
        <f t="shared" si="54"/>
        <v>-0.18170444955979784</v>
      </c>
      <c r="F117" s="22">
        <f t="shared" si="54"/>
        <v>-1.2444189991983946E-2</v>
      </c>
      <c r="G117" s="22">
        <f t="shared" si="54"/>
        <v>-0.11687525163966812</v>
      </c>
      <c r="H117" s="22">
        <f t="shared" si="54"/>
        <v>-0.14902850725380723</v>
      </c>
      <c r="I117" s="22">
        <f t="shared" si="54"/>
        <v>-8.7249126037706043E-2</v>
      </c>
      <c r="J117" s="22">
        <f t="shared" si="54"/>
        <v>3.1750824157099775E-2</v>
      </c>
      <c r="K117" s="22">
        <f t="shared" si="54"/>
        <v>7.365284071398516E-2</v>
      </c>
      <c r="L117" s="22">
        <f t="shared" si="54"/>
        <v>0.16842429170802203</v>
      </c>
      <c r="M117" s="22">
        <f t="shared" si="54"/>
        <v>-5.2770837999561712E-2</v>
      </c>
      <c r="N117" s="22">
        <f t="shared" si="54"/>
        <v>-3.2949515205035092E-2</v>
      </c>
      <c r="O117" s="14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0"/>
      <c r="B118" s="8"/>
      <c r="C118" s="8"/>
      <c r="D118" s="8"/>
      <c r="E118" s="8"/>
      <c r="F118" s="8"/>
      <c r="G118" s="8"/>
      <c r="H118" s="8"/>
      <c r="I118" s="13"/>
      <c r="J118" s="8"/>
      <c r="K118" s="8"/>
      <c r="L118" s="8"/>
      <c r="M118" s="8"/>
      <c r="N118" s="13"/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</sheetData>
  <sheetProtection algorithmName="SHA-512" hashValue="Tf/JEfKqzoYrBUUTBRQSDYIKo8u2zeJQo5K3W3QFb5SrVymIT0KNsdCKcBfbn3TtAIotNv1GBhKexs98QrVfVg==" saltValue="NfUSVK0NyyhUYje1C2FMDw==" spinCount="100000" sheet="1" objects="1" scenarios="1"/>
  <mergeCells count="3">
    <mergeCell ref="A1:N1"/>
    <mergeCell ref="A2:N2"/>
    <mergeCell ref="A124:N1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18CC-F31C-4338-A200-5443CAD034F0}">
  <dimension ref="A1:Y147"/>
  <sheetViews>
    <sheetView tabSelected="1" zoomScale="120" zoomScaleNormal="120" workbookViewId="0">
      <pane xSplit="1" ySplit="4" topLeftCell="B5" activePane="bottomRight" state="frozen"/>
      <selection pane="topRight"/>
      <selection pane="bottomLeft"/>
      <selection pane="bottomRight" activeCell="D25" sqref="D25"/>
    </sheetView>
  </sheetViews>
  <sheetFormatPr defaultColWidth="11" defaultRowHeight="15.75" x14ac:dyDescent="0.25"/>
  <cols>
    <col min="1" max="1" width="37" customWidth="1"/>
    <col min="2" max="2" width="11.375" customWidth="1"/>
    <col min="3" max="5" width="12.5" bestFit="1" customWidth="1"/>
    <col min="6" max="6" width="12.625" bestFit="1" customWidth="1"/>
    <col min="7" max="10" width="12.5" bestFit="1" customWidth="1"/>
    <col min="11" max="13" width="12.625" bestFit="1" customWidth="1"/>
    <col min="14" max="14" width="13.625" bestFit="1" customWidth="1"/>
    <col min="15" max="15" width="12.875" customWidth="1"/>
    <col min="16" max="16" width="12" bestFit="1" customWidth="1"/>
    <col min="17" max="17" width="9"/>
    <col min="18" max="18" width="17.625" customWidth="1"/>
    <col min="19" max="19" width="13.875" customWidth="1"/>
    <col min="20" max="20" width="11.375" bestFit="1" customWidth="1"/>
  </cols>
  <sheetData>
    <row r="1" spans="1:25" ht="30.95" customHeight="1" x14ac:dyDescent="0.4">
      <c r="A1" s="137" t="s">
        <v>176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100000000000001" customHeight="1" x14ac:dyDescent="0.3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x14ac:dyDescent="0.3">
      <c r="A3" s="14"/>
      <c r="B3" s="117" t="s">
        <v>242</v>
      </c>
      <c r="C3" s="116"/>
      <c r="D3" s="116"/>
      <c r="E3" s="116"/>
      <c r="F3" s="116"/>
      <c r="G3" s="116"/>
      <c r="H3" s="116"/>
      <c r="I3" s="14"/>
      <c r="J3" s="14"/>
      <c r="K3" s="14"/>
      <c r="L3" s="14"/>
      <c r="M3" s="14"/>
      <c r="N3" s="14"/>
      <c r="O3" s="14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8"/>
      <c r="B4" s="9" t="s">
        <v>2</v>
      </c>
      <c r="C4" s="23">
        <v>45068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14"/>
      <c r="P4" s="1"/>
      <c r="Q4" s="1"/>
      <c r="R4" s="80" t="s">
        <v>188</v>
      </c>
      <c r="S4" s="76"/>
      <c r="T4" s="77">
        <f>S5/1.3</f>
        <v>0.96153846153846145</v>
      </c>
      <c r="U4" s="1"/>
      <c r="V4" s="1"/>
      <c r="W4" s="1"/>
      <c r="X4" s="1"/>
      <c r="Y4" s="1"/>
    </row>
    <row r="5" spans="1:25" x14ac:dyDescent="0.25">
      <c r="A5" s="1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4"/>
      <c r="P5" s="1"/>
      <c r="Q5" s="1"/>
      <c r="R5" s="76" t="s">
        <v>216</v>
      </c>
      <c r="S5" s="77">
        <v>1.25</v>
      </c>
      <c r="T5" s="1"/>
      <c r="U5" s="1"/>
      <c r="V5" s="1"/>
      <c r="W5" s="1"/>
      <c r="X5" s="1"/>
      <c r="Y5" s="1"/>
    </row>
    <row r="6" spans="1:25" ht="19.5" customHeight="1" x14ac:dyDescent="0.25">
      <c r="A6" s="67" t="s">
        <v>217</v>
      </c>
      <c r="B6" s="73">
        <f>B10/$S$5</f>
        <v>4790.5360000000001</v>
      </c>
      <c r="C6" s="73">
        <f t="shared" ref="C6:N6" si="0">C10/$S$5</f>
        <v>4076.1519999999996</v>
      </c>
      <c r="D6" s="73">
        <f t="shared" si="0"/>
        <v>4622.4399999999996</v>
      </c>
      <c r="E6" s="73">
        <f t="shared" si="0"/>
        <v>7227.8240000000005</v>
      </c>
      <c r="F6" s="73">
        <f t="shared" si="0"/>
        <v>8278.3760000000002</v>
      </c>
      <c r="G6" s="73">
        <f t="shared" si="0"/>
        <v>7606.0160000000005</v>
      </c>
      <c r="H6" s="73">
        <f t="shared" si="0"/>
        <v>4622.4400000000005</v>
      </c>
      <c r="I6" s="73">
        <f t="shared" si="0"/>
        <v>4202.2160000000003</v>
      </c>
      <c r="J6" s="73">
        <f t="shared" si="0"/>
        <v>7942.2080000000005</v>
      </c>
      <c r="K6" s="73">
        <f t="shared" si="0"/>
        <v>8236.36</v>
      </c>
      <c r="L6" s="73">
        <f t="shared" si="0"/>
        <v>13068.928</v>
      </c>
      <c r="M6" s="73">
        <f t="shared" si="0"/>
        <v>9370.9600000000009</v>
      </c>
      <c r="N6" s="73">
        <f t="shared" si="0"/>
        <v>84044.456000000006</v>
      </c>
      <c r="O6" s="41" t="s">
        <v>239</v>
      </c>
      <c r="P6" s="1"/>
      <c r="Q6" s="1"/>
      <c r="R6" s="76" t="s">
        <v>218</v>
      </c>
      <c r="S6" s="78">
        <f>$S$7/(N6+N12)</f>
        <v>0.61706142918352402</v>
      </c>
      <c r="T6" s="1"/>
      <c r="U6" s="1"/>
      <c r="V6" s="1"/>
      <c r="W6" s="1"/>
      <c r="X6" s="1"/>
      <c r="Y6" s="1"/>
    </row>
    <row r="7" spans="1:25" x14ac:dyDescent="0.25">
      <c r="A7" s="34" t="s">
        <v>179</v>
      </c>
      <c r="B7" s="69">
        <v>2101.11</v>
      </c>
      <c r="C7" s="70">
        <v>1575.83</v>
      </c>
      <c r="D7" s="70">
        <v>2626.39</v>
      </c>
      <c r="E7" s="70">
        <v>5252.78</v>
      </c>
      <c r="F7" s="70">
        <v>5778.06</v>
      </c>
      <c r="G7" s="70">
        <v>4202.22</v>
      </c>
      <c r="H7" s="70">
        <v>2101.11</v>
      </c>
      <c r="I7" s="70">
        <v>1575.83</v>
      </c>
      <c r="J7" s="70">
        <v>5252.78</v>
      </c>
      <c r="K7" s="70">
        <v>5778.06</v>
      </c>
      <c r="L7" s="70">
        <v>9455.01</v>
      </c>
      <c r="M7" s="70">
        <v>6828.62</v>
      </c>
      <c r="N7" s="121">
        <f>SUM(B7:M7)</f>
        <v>52527.8</v>
      </c>
      <c r="O7" s="42"/>
      <c r="P7" s="1"/>
      <c r="Q7" s="1"/>
      <c r="R7" s="76" t="s">
        <v>219</v>
      </c>
      <c r="S7" s="133">
        <f>N129+N131+N135+N139+N140+N141</f>
        <v>197934.65000000002</v>
      </c>
      <c r="T7" s="6"/>
      <c r="U7" s="1"/>
      <c r="V7" s="1"/>
      <c r="W7" s="1"/>
      <c r="X7" s="1"/>
      <c r="Y7" s="1"/>
    </row>
    <row r="8" spans="1:25" x14ac:dyDescent="0.25">
      <c r="A8" s="10" t="s">
        <v>181</v>
      </c>
      <c r="B8" s="70">
        <v>945.5</v>
      </c>
      <c r="C8" s="70">
        <v>998.03</v>
      </c>
      <c r="D8" s="70">
        <v>630.33000000000004</v>
      </c>
      <c r="E8" s="70">
        <v>420.22</v>
      </c>
      <c r="F8" s="70">
        <v>367.69</v>
      </c>
      <c r="G8" s="70">
        <v>1103.08</v>
      </c>
      <c r="H8" s="70">
        <v>1155.6099999999999</v>
      </c>
      <c r="I8" s="70">
        <v>1575.83</v>
      </c>
      <c r="J8" s="70">
        <v>1313.2</v>
      </c>
      <c r="K8" s="70">
        <v>735.39</v>
      </c>
      <c r="L8" s="70">
        <v>577.80999999999995</v>
      </c>
      <c r="M8" s="70">
        <v>682.86</v>
      </c>
      <c r="N8" s="121">
        <f t="shared" ref="N8:N10" si="1">SUM(B8:M8)</f>
        <v>10505.55</v>
      </c>
      <c r="O8" s="42"/>
      <c r="P8" s="1"/>
      <c r="Q8" s="1"/>
      <c r="R8" s="76" t="s">
        <v>220</v>
      </c>
      <c r="S8" s="133">
        <f>N132+N143</f>
        <v>19800.510000000002</v>
      </c>
      <c r="T8" s="6"/>
      <c r="U8" s="1"/>
      <c r="V8" s="1"/>
      <c r="W8" s="1"/>
      <c r="X8" s="1"/>
      <c r="Y8" s="1"/>
    </row>
    <row r="9" spans="1:25" x14ac:dyDescent="0.25">
      <c r="A9" s="34" t="s">
        <v>183</v>
      </c>
      <c r="B9" s="70">
        <v>2941.56</v>
      </c>
      <c r="C9" s="70">
        <v>2521.33</v>
      </c>
      <c r="D9" s="70">
        <v>2521.33</v>
      </c>
      <c r="E9" s="70">
        <v>3361.78</v>
      </c>
      <c r="F9" s="70">
        <v>4202.22</v>
      </c>
      <c r="G9" s="70">
        <v>4202.22</v>
      </c>
      <c r="H9" s="70">
        <v>2521.33</v>
      </c>
      <c r="I9" s="70">
        <v>2101.11</v>
      </c>
      <c r="J9" s="70">
        <v>3361.78</v>
      </c>
      <c r="K9" s="70">
        <v>3782</v>
      </c>
      <c r="L9" s="70">
        <v>6303.34</v>
      </c>
      <c r="M9" s="70">
        <v>4202.22</v>
      </c>
      <c r="N9" s="121">
        <f t="shared" si="1"/>
        <v>42022.22</v>
      </c>
      <c r="O9" s="39"/>
      <c r="P9" s="1"/>
      <c r="Q9" s="1"/>
      <c r="R9" s="76" t="s">
        <v>221</v>
      </c>
      <c r="S9" s="134">
        <f>N10/(N10+(N15*1.3))</f>
        <v>0.26200865858661837</v>
      </c>
      <c r="T9" s="135">
        <f>S7*S9</f>
        <v>51860.59213431181</v>
      </c>
      <c r="U9" s="1"/>
      <c r="V9" s="1"/>
      <c r="W9" s="1"/>
      <c r="X9" s="1"/>
      <c r="Y9" s="1"/>
    </row>
    <row r="10" spans="1:25" x14ac:dyDescent="0.25">
      <c r="A10" s="34" t="s">
        <v>185</v>
      </c>
      <c r="B10" s="28">
        <f>SUM(B7:B9)</f>
        <v>5988.17</v>
      </c>
      <c r="C10" s="28">
        <f t="shared" ref="C10:M10" si="2">SUM(C7:C9)</f>
        <v>5095.1899999999996</v>
      </c>
      <c r="D10" s="28">
        <f t="shared" si="2"/>
        <v>5778.0499999999993</v>
      </c>
      <c r="E10" s="28">
        <f t="shared" si="2"/>
        <v>9034.7800000000007</v>
      </c>
      <c r="F10" s="28">
        <f t="shared" si="2"/>
        <v>10347.970000000001</v>
      </c>
      <c r="G10" s="28">
        <f t="shared" si="2"/>
        <v>9507.52</v>
      </c>
      <c r="H10" s="28">
        <f t="shared" si="2"/>
        <v>5778.05</v>
      </c>
      <c r="I10" s="28">
        <f t="shared" si="2"/>
        <v>5252.77</v>
      </c>
      <c r="J10" s="28">
        <f t="shared" si="2"/>
        <v>9927.76</v>
      </c>
      <c r="K10" s="28">
        <f t="shared" si="2"/>
        <v>10295.450000000001</v>
      </c>
      <c r="L10" s="28">
        <f t="shared" si="2"/>
        <v>16336.16</v>
      </c>
      <c r="M10" s="28">
        <f t="shared" si="2"/>
        <v>11713.7</v>
      </c>
      <c r="N10" s="122">
        <f t="shared" si="1"/>
        <v>105055.57</v>
      </c>
      <c r="O10" s="79">
        <v>0.43</v>
      </c>
      <c r="P10" s="45"/>
      <c r="Q10" s="1"/>
      <c r="R10" s="76" t="s">
        <v>222</v>
      </c>
      <c r="S10" s="134">
        <f>(N15*1.3)/((N15*1.3)+N10)</f>
        <v>0.73799134141338163</v>
      </c>
      <c r="T10" s="135">
        <f>+S7*S10</f>
        <v>146074.05786568823</v>
      </c>
      <c r="U10" s="1"/>
      <c r="V10" s="1"/>
      <c r="W10" s="1"/>
      <c r="X10" s="1"/>
      <c r="Y10" s="1"/>
    </row>
    <row r="11" spans="1:25" x14ac:dyDescent="0.25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9"/>
      <c r="P11" s="45"/>
      <c r="Q11" s="1"/>
      <c r="R11" s="1"/>
      <c r="S11" s="44"/>
      <c r="T11" s="68"/>
      <c r="U11" s="1"/>
      <c r="V11" s="1"/>
      <c r="W11" s="1"/>
      <c r="X11" s="1"/>
      <c r="Y11" s="1"/>
    </row>
    <row r="12" spans="1:25" x14ac:dyDescent="0.25">
      <c r="A12" s="67" t="s">
        <v>223</v>
      </c>
      <c r="B12" s="73">
        <f>B15/($S$5/1.3)</f>
        <v>16807.492000000002</v>
      </c>
      <c r="C12" s="73">
        <f t="shared" ref="C12:N12" si="3">C15/($S$5/1.3)</f>
        <v>22429.721600000004</v>
      </c>
      <c r="D12" s="73">
        <f t="shared" si="3"/>
        <v>17813.577600000004</v>
      </c>
      <c r="E12" s="73">
        <f t="shared" si="3"/>
        <v>14795.331200000002</v>
      </c>
      <c r="F12" s="73">
        <f t="shared" si="3"/>
        <v>19411.475200000004</v>
      </c>
      <c r="G12" s="73">
        <f t="shared" si="3"/>
        <v>16215.680000000002</v>
      </c>
      <c r="H12" s="73">
        <f t="shared" si="3"/>
        <v>19529.837600000003</v>
      </c>
      <c r="I12" s="73">
        <f t="shared" si="3"/>
        <v>25921.428000000004</v>
      </c>
      <c r="J12" s="73">
        <f t="shared" si="3"/>
        <v>22370.545600000001</v>
      </c>
      <c r="K12" s="73">
        <f t="shared" si="3"/>
        <v>23435.807200000003</v>
      </c>
      <c r="L12" s="73">
        <f t="shared" si="3"/>
        <v>18819.663200000003</v>
      </c>
      <c r="M12" s="73">
        <f t="shared" si="3"/>
        <v>19174.750400000004</v>
      </c>
      <c r="N12" s="73">
        <f t="shared" si="3"/>
        <v>236725.30960000004</v>
      </c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34" t="s">
        <v>189</v>
      </c>
      <c r="B13" s="70">
        <v>15478.19</v>
      </c>
      <c r="C13" s="70">
        <v>16445.580000000002</v>
      </c>
      <c r="D13" s="70">
        <v>16445.580000000002</v>
      </c>
      <c r="E13" s="70">
        <v>13543.42</v>
      </c>
      <c r="F13" s="70">
        <v>13543.42</v>
      </c>
      <c r="G13" s="70">
        <v>13543.42</v>
      </c>
      <c r="H13" s="70">
        <v>17412.97</v>
      </c>
      <c r="I13" s="70">
        <v>17412.97</v>
      </c>
      <c r="J13" s="70">
        <v>17412.97</v>
      </c>
      <c r="K13" s="70">
        <v>17412.97</v>
      </c>
      <c r="L13" s="70">
        <v>17412.97</v>
      </c>
      <c r="M13" s="70">
        <v>17412.97</v>
      </c>
      <c r="N13" s="71">
        <f>SUM(B13:M13)</f>
        <v>193477.43000000002</v>
      </c>
      <c r="O13" s="42"/>
      <c r="P13" s="1"/>
      <c r="Q13" s="1"/>
      <c r="R13" s="5"/>
      <c r="S13" s="5"/>
      <c r="T13" s="5"/>
      <c r="U13" s="5"/>
      <c r="V13" s="5"/>
      <c r="W13" s="3"/>
      <c r="X13" s="5"/>
      <c r="Y13" s="1"/>
    </row>
    <row r="14" spans="1:25" x14ac:dyDescent="0.25">
      <c r="A14" s="34" t="s">
        <v>190</v>
      </c>
      <c r="B14" s="70">
        <v>682.86</v>
      </c>
      <c r="C14" s="70">
        <v>5121.46</v>
      </c>
      <c r="D14" s="70">
        <v>682.86</v>
      </c>
      <c r="E14" s="70">
        <v>682.86</v>
      </c>
      <c r="F14" s="70">
        <v>5121.46</v>
      </c>
      <c r="G14" s="70">
        <v>2048.58</v>
      </c>
      <c r="H14" s="70">
        <v>1365.72</v>
      </c>
      <c r="I14" s="70">
        <v>7511.48</v>
      </c>
      <c r="J14" s="70">
        <v>4097.17</v>
      </c>
      <c r="K14" s="70">
        <v>5121.46</v>
      </c>
      <c r="L14" s="70">
        <v>682.86</v>
      </c>
      <c r="M14" s="70">
        <v>1024.29</v>
      </c>
      <c r="N14" s="71">
        <f>SUM(B14:M14)</f>
        <v>34143.06</v>
      </c>
      <c r="O14" s="39"/>
      <c r="P14" s="1"/>
      <c r="Q14" s="1"/>
      <c r="R14" s="5"/>
      <c r="S14" s="3"/>
      <c r="T14" s="5"/>
      <c r="U14" s="3"/>
      <c r="V14" s="3"/>
      <c r="W14" s="3"/>
      <c r="X14" s="5"/>
      <c r="Y14" s="1"/>
    </row>
    <row r="15" spans="1:25" x14ac:dyDescent="0.25">
      <c r="A15" s="34" t="s">
        <v>191</v>
      </c>
      <c r="B15" s="28">
        <f>SUM(B13:B14)</f>
        <v>16161.050000000001</v>
      </c>
      <c r="C15" s="28">
        <f t="shared" ref="C15:N15" si="4">SUM(C13:C14)</f>
        <v>21567.040000000001</v>
      </c>
      <c r="D15" s="28">
        <f t="shared" si="4"/>
        <v>17128.440000000002</v>
      </c>
      <c r="E15" s="28">
        <f t="shared" si="4"/>
        <v>14226.28</v>
      </c>
      <c r="F15" s="28">
        <f t="shared" si="4"/>
        <v>18664.88</v>
      </c>
      <c r="G15" s="28">
        <f t="shared" si="4"/>
        <v>15592</v>
      </c>
      <c r="H15" s="28">
        <f t="shared" si="4"/>
        <v>18778.690000000002</v>
      </c>
      <c r="I15" s="28">
        <f t="shared" si="4"/>
        <v>24924.45</v>
      </c>
      <c r="J15" s="28">
        <f t="shared" si="4"/>
        <v>21510.14</v>
      </c>
      <c r="K15" s="28">
        <f t="shared" si="4"/>
        <v>22534.43</v>
      </c>
      <c r="L15" s="28">
        <f t="shared" si="4"/>
        <v>18095.830000000002</v>
      </c>
      <c r="M15" s="28">
        <f t="shared" si="4"/>
        <v>18437.260000000002</v>
      </c>
      <c r="N15" s="28">
        <f t="shared" si="4"/>
        <v>227620.49000000002</v>
      </c>
      <c r="O15" s="79">
        <v>0.26</v>
      </c>
      <c r="P15" s="45"/>
      <c r="Q15" s="1"/>
      <c r="R15" s="5"/>
      <c r="S15" s="5"/>
      <c r="T15" s="5"/>
      <c r="U15" s="5"/>
      <c r="V15" s="5"/>
      <c r="W15" s="3"/>
      <c r="X15" s="3"/>
      <c r="Y15" s="1"/>
    </row>
    <row r="16" spans="1:25" x14ac:dyDescent="0.25">
      <c r="A16" s="10" t="s">
        <v>192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v>0</v>
      </c>
      <c r="O16" s="38"/>
      <c r="P16" s="1"/>
      <c r="Q16" s="1"/>
      <c r="R16" s="3"/>
      <c r="S16" s="3"/>
      <c r="T16" s="3"/>
      <c r="U16" s="3"/>
      <c r="V16" s="3"/>
      <c r="W16" s="3"/>
      <c r="X16" s="3"/>
      <c r="Y16" s="1"/>
    </row>
    <row r="17" spans="1:25" x14ac:dyDescent="0.25">
      <c r="A17" s="10" t="s">
        <v>193</v>
      </c>
      <c r="B17" s="70">
        <v>188.56</v>
      </c>
      <c r="C17" s="70">
        <v>314.26</v>
      </c>
      <c r="D17" s="70">
        <v>628.53</v>
      </c>
      <c r="E17" s="70">
        <v>691.38</v>
      </c>
      <c r="F17" s="70">
        <v>502.82</v>
      </c>
      <c r="G17" s="70">
        <v>251.41</v>
      </c>
      <c r="H17" s="70">
        <v>188.56</v>
      </c>
      <c r="I17" s="70">
        <v>628.53</v>
      </c>
      <c r="J17" s="70">
        <v>691.38</v>
      </c>
      <c r="K17" s="70">
        <v>1131.3499999999999</v>
      </c>
      <c r="L17" s="70">
        <v>817.08</v>
      </c>
      <c r="M17" s="70">
        <v>251.41</v>
      </c>
      <c r="N17" s="71">
        <f>SUM(B17:M17)</f>
        <v>6285.27</v>
      </c>
      <c r="O17" s="42"/>
      <c r="P17" s="1"/>
      <c r="Q17" s="1"/>
      <c r="R17" s="3"/>
      <c r="S17" s="5"/>
      <c r="T17" s="5"/>
      <c r="U17" s="3"/>
      <c r="V17" s="3"/>
      <c r="W17" s="3"/>
      <c r="X17" s="5"/>
      <c r="Y17" s="1"/>
    </row>
    <row r="18" spans="1:25" x14ac:dyDescent="0.25">
      <c r="A18" s="10" t="s">
        <v>194</v>
      </c>
      <c r="B18" s="70">
        <v>448.96</v>
      </c>
      <c r="C18" s="70">
        <v>336.72</v>
      </c>
      <c r="D18" s="70">
        <v>561.20000000000005</v>
      </c>
      <c r="E18" s="70">
        <v>1122.4000000000001</v>
      </c>
      <c r="F18" s="70">
        <v>1234.6400000000001</v>
      </c>
      <c r="G18" s="70">
        <v>897.92</v>
      </c>
      <c r="H18" s="70">
        <v>448.96</v>
      </c>
      <c r="I18" s="70">
        <v>336.72</v>
      </c>
      <c r="J18" s="70">
        <v>1122.4000000000001</v>
      </c>
      <c r="K18" s="70">
        <v>1234.6400000000001</v>
      </c>
      <c r="L18" s="70">
        <v>2020.32</v>
      </c>
      <c r="M18" s="70">
        <v>1459.12</v>
      </c>
      <c r="N18" s="71">
        <f t="shared" ref="N18:N23" si="5">SUM(B18:M18)</f>
        <v>11224</v>
      </c>
      <c r="O18" s="39"/>
      <c r="P18" s="1"/>
      <c r="Q18" s="1"/>
      <c r="R18" s="3"/>
      <c r="S18" s="5"/>
      <c r="T18" s="5"/>
      <c r="U18" s="3"/>
      <c r="V18" s="3"/>
      <c r="W18" s="3"/>
      <c r="X18" s="5"/>
      <c r="Y18" s="1"/>
    </row>
    <row r="19" spans="1:25" x14ac:dyDescent="0.25">
      <c r="A19" s="34" t="s">
        <v>195</v>
      </c>
      <c r="B19" s="28">
        <f>SUM(B17:B18)</f>
        <v>637.52</v>
      </c>
      <c r="C19" s="28">
        <f t="shared" ref="C19:N19" si="6">SUM(C17:C18)</f>
        <v>650.98</v>
      </c>
      <c r="D19" s="28">
        <f t="shared" si="6"/>
        <v>1189.73</v>
      </c>
      <c r="E19" s="28">
        <f t="shared" si="6"/>
        <v>1813.7800000000002</v>
      </c>
      <c r="F19" s="28">
        <f t="shared" si="6"/>
        <v>1737.46</v>
      </c>
      <c r="G19" s="28">
        <f t="shared" si="6"/>
        <v>1149.33</v>
      </c>
      <c r="H19" s="28">
        <f t="shared" si="6"/>
        <v>637.52</v>
      </c>
      <c r="I19" s="28">
        <f t="shared" si="6"/>
        <v>965.25</v>
      </c>
      <c r="J19" s="28">
        <f t="shared" si="6"/>
        <v>1813.7800000000002</v>
      </c>
      <c r="K19" s="28">
        <f t="shared" si="6"/>
        <v>2365.9899999999998</v>
      </c>
      <c r="L19" s="28">
        <f t="shared" si="6"/>
        <v>2837.4</v>
      </c>
      <c r="M19" s="28">
        <f t="shared" si="6"/>
        <v>1710.53</v>
      </c>
      <c r="N19" s="28">
        <f t="shared" si="6"/>
        <v>17509.27</v>
      </c>
      <c r="O19" s="79">
        <f>(N19-S8)/N19</f>
        <v>-0.13085868228658315</v>
      </c>
      <c r="P19" s="1"/>
      <c r="Q19" s="1"/>
      <c r="R19" s="3"/>
      <c r="S19" s="5"/>
      <c r="T19" s="5"/>
      <c r="U19" s="3"/>
      <c r="V19" s="3"/>
      <c r="W19" s="3"/>
      <c r="X19" s="3"/>
      <c r="Y19" s="1"/>
    </row>
    <row r="20" spans="1:25" x14ac:dyDescent="0.25">
      <c r="A20" s="10" t="s">
        <v>36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71">
        <f t="shared" si="5"/>
        <v>0</v>
      </c>
      <c r="O20" s="31"/>
      <c r="P20" s="1"/>
      <c r="Q20" s="1"/>
      <c r="R20" s="5"/>
      <c r="S20" s="5"/>
      <c r="T20" s="5"/>
      <c r="U20" s="5"/>
      <c r="V20" s="5"/>
      <c r="W20" s="3"/>
      <c r="X20" s="5"/>
      <c r="Y20" s="1"/>
    </row>
    <row r="21" spans="1:25" x14ac:dyDescent="0.25">
      <c r="A21" s="10"/>
      <c r="B21" s="25"/>
      <c r="C21" s="25"/>
      <c r="D21" s="25"/>
      <c r="E21" s="25"/>
      <c r="F21" s="24"/>
      <c r="G21" s="24"/>
      <c r="H21" s="25"/>
      <c r="I21" s="24"/>
      <c r="J21" s="24"/>
      <c r="K21" s="24"/>
      <c r="L21" s="24"/>
      <c r="M21" s="24"/>
      <c r="N21" s="71">
        <f t="shared" si="5"/>
        <v>0</v>
      </c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0" t="s">
        <v>38</v>
      </c>
      <c r="B22" s="25"/>
      <c r="C22" s="25"/>
      <c r="D22" s="25"/>
      <c r="E22" s="25"/>
      <c r="F22" s="24">
        <v>200.68</v>
      </c>
      <c r="G22" s="24">
        <v>401.36</v>
      </c>
      <c r="H22" s="24">
        <v>200.68</v>
      </c>
      <c r="I22" s="24">
        <v>332</v>
      </c>
      <c r="J22" s="24">
        <v>200.68</v>
      </c>
      <c r="K22" s="24">
        <v>420</v>
      </c>
      <c r="L22" s="24">
        <v>200.68</v>
      </c>
      <c r="M22" s="24">
        <f>200.68+932</f>
        <v>1132.68</v>
      </c>
      <c r="N22" s="71">
        <f t="shared" si="5"/>
        <v>3088.76</v>
      </c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34" t="s">
        <v>39</v>
      </c>
      <c r="B23" s="28">
        <f>B10+B15+B19+B22</f>
        <v>22786.74</v>
      </c>
      <c r="C23" s="28">
        <f t="shared" ref="C23:M23" si="7">C10+C15+C19+C22</f>
        <v>27313.21</v>
      </c>
      <c r="D23" s="28">
        <f t="shared" si="7"/>
        <v>24096.22</v>
      </c>
      <c r="E23" s="28">
        <f t="shared" si="7"/>
        <v>25074.84</v>
      </c>
      <c r="F23" s="28">
        <f t="shared" si="7"/>
        <v>30950.99</v>
      </c>
      <c r="G23" s="28">
        <f t="shared" si="7"/>
        <v>26650.21</v>
      </c>
      <c r="H23" s="28">
        <f t="shared" si="7"/>
        <v>25394.940000000002</v>
      </c>
      <c r="I23" s="28">
        <f t="shared" si="7"/>
        <v>31474.47</v>
      </c>
      <c r="J23" s="28">
        <f t="shared" si="7"/>
        <v>33452.36</v>
      </c>
      <c r="K23" s="28">
        <f t="shared" si="7"/>
        <v>35615.870000000003</v>
      </c>
      <c r="L23" s="28">
        <f t="shared" si="7"/>
        <v>37470.070000000007</v>
      </c>
      <c r="M23" s="28">
        <f t="shared" si="7"/>
        <v>32994.17</v>
      </c>
      <c r="N23" s="123">
        <f t="shared" si="5"/>
        <v>353274.08999999997</v>
      </c>
      <c r="O23" s="14"/>
      <c r="P23" s="1"/>
      <c r="Q23" s="33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0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14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0.25" x14ac:dyDescent="0.3">
      <c r="A25" s="100" t="s">
        <v>40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>
        <v>0</v>
      </c>
      <c r="O25" s="1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34" t="s">
        <v>224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7"/>
      <c r="O26" s="1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75" t="s">
        <v>225</v>
      </c>
      <c r="B27" s="70">
        <f t="shared" ref="B27:M27" si="8">(B7/$S$5)*$S$6+B53</f>
        <v>1537.2111515774354</v>
      </c>
      <c r="C27" s="70">
        <f t="shared" si="8"/>
        <v>1277.907129560218</v>
      </c>
      <c r="D27" s="70">
        <f t="shared" si="8"/>
        <v>1796.5151735946527</v>
      </c>
      <c r="E27" s="70">
        <f t="shared" si="8"/>
        <v>3093.0303471893053</v>
      </c>
      <c r="F27" s="70">
        <f t="shared" si="8"/>
        <v>3352.3343692065223</v>
      </c>
      <c r="G27" s="70">
        <f t="shared" si="8"/>
        <v>2574.4223031548709</v>
      </c>
      <c r="H27" s="70">
        <f t="shared" si="8"/>
        <v>1537.2111515774354</v>
      </c>
      <c r="I27" s="70">
        <f t="shared" si="8"/>
        <v>1530.3171295602181</v>
      </c>
      <c r="J27" s="70">
        <f t="shared" si="8"/>
        <v>3093.0303471893053</v>
      </c>
      <c r="K27" s="70">
        <f t="shared" si="8"/>
        <v>3352.3343692065223</v>
      </c>
      <c r="L27" s="70">
        <f t="shared" si="8"/>
        <v>5167.4575868356087</v>
      </c>
      <c r="M27" s="70">
        <f t="shared" si="8"/>
        <v>3870.9424132409563</v>
      </c>
      <c r="N27" s="70">
        <f>SUM(B27:M27)</f>
        <v>32182.713471893047</v>
      </c>
      <c r="O27" s="124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75" t="s">
        <v>226</v>
      </c>
      <c r="B28" s="22">
        <f>(B7-B27)/B7</f>
        <v>0.26838140241232711</v>
      </c>
      <c r="C28" s="22">
        <f t="shared" ref="C28:N28" si="9">(C7-C27)/C7</f>
        <v>0.18905774762492272</v>
      </c>
      <c r="D28" s="22">
        <f t="shared" si="9"/>
        <v>0.315975474474601</v>
      </c>
      <c r="E28" s="22">
        <f t="shared" si="9"/>
        <v>0.41116316556389082</v>
      </c>
      <c r="F28" s="22">
        <f t="shared" si="9"/>
        <v>0.41981662197925912</v>
      </c>
      <c r="G28" s="22">
        <f t="shared" si="9"/>
        <v>0.38736612953275396</v>
      </c>
      <c r="H28" s="22">
        <f t="shared" si="9"/>
        <v>0.26838140241232711</v>
      </c>
      <c r="I28" s="22">
        <f t="shared" si="9"/>
        <v>2.8881840325277387E-2</v>
      </c>
      <c r="J28" s="22">
        <f t="shared" si="9"/>
        <v>0.41116316556389082</v>
      </c>
      <c r="K28" s="22">
        <f t="shared" si="9"/>
        <v>0.41981662197925912</v>
      </c>
      <c r="L28" s="22">
        <f t="shared" si="9"/>
        <v>0.45346883960613382</v>
      </c>
      <c r="M28" s="22">
        <f t="shared" si="9"/>
        <v>0.43312962015151579</v>
      </c>
      <c r="N28" s="22">
        <f t="shared" si="9"/>
        <v>0.38732036232446354</v>
      </c>
      <c r="O28" s="14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04" t="s">
        <v>227</v>
      </c>
      <c r="B29" s="70">
        <f t="shared" ref="B29:M29" si="10">(B8/$S$5)*$S$6+B49</f>
        <v>716.74526503441757</v>
      </c>
      <c r="C29" s="70">
        <f t="shared" si="10"/>
        <v>2423.8766545344261</v>
      </c>
      <c r="D29" s="70">
        <f t="shared" si="10"/>
        <v>561.16186452580064</v>
      </c>
      <c r="E29" s="70">
        <f t="shared" si="10"/>
        <v>457.44124301720041</v>
      </c>
      <c r="F29" s="70">
        <f t="shared" si="10"/>
        <v>431.50985351719191</v>
      </c>
      <c r="G29" s="70">
        <f t="shared" si="10"/>
        <v>794.53449704300931</v>
      </c>
      <c r="H29" s="70">
        <f t="shared" si="10"/>
        <v>820.46588654301775</v>
      </c>
      <c r="I29" s="70">
        <f t="shared" si="10"/>
        <v>1177.337129560218</v>
      </c>
      <c r="J29" s="70">
        <f t="shared" si="10"/>
        <v>898.26005504304294</v>
      </c>
      <c r="K29" s="70">
        <f t="shared" si="10"/>
        <v>613.0246435258174</v>
      </c>
      <c r="L29" s="70">
        <f t="shared" si="10"/>
        <v>535.23541151722566</v>
      </c>
      <c r="M29" s="70">
        <f t="shared" si="10"/>
        <v>587.09325402580896</v>
      </c>
      <c r="N29" s="70">
        <f>SUM(B29:M29)</f>
        <v>10016.685757887177</v>
      </c>
      <c r="O29" s="14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04" t="s">
        <v>228</v>
      </c>
      <c r="B30" s="22">
        <f>(B8-B29)/B8</f>
        <v>0.24194049176687724</v>
      </c>
      <c r="C30" s="22">
        <f t="shared" ref="C30:N30" si="11">(C8-C29)/C8</f>
        <v>-1.4286611169347876</v>
      </c>
      <c r="D30" s="22">
        <f t="shared" si="11"/>
        <v>0.10973321192740215</v>
      </c>
      <c r="E30" s="22">
        <f t="shared" si="11"/>
        <v>-8.8575610435487076E-2</v>
      </c>
      <c r="F30" s="22">
        <f t="shared" si="11"/>
        <v>-0.1735697286224589</v>
      </c>
      <c r="G30" s="22">
        <f t="shared" si="11"/>
        <v>0.27971271617379578</v>
      </c>
      <c r="H30" s="22">
        <f t="shared" si="11"/>
        <v>0.29001489555903998</v>
      </c>
      <c r="I30" s="22">
        <f t="shared" si="11"/>
        <v>0.25287808357486652</v>
      </c>
      <c r="J30" s="22">
        <f t="shared" si="11"/>
        <v>0.31597619932756404</v>
      </c>
      <c r="K30" s="22">
        <f t="shared" si="11"/>
        <v>0.16639518687252014</v>
      </c>
      <c r="L30" s="22">
        <f t="shared" si="11"/>
        <v>7.3682678532345044E-2</v>
      </c>
      <c r="M30" s="22">
        <f t="shared" si="11"/>
        <v>0.14024360187182006</v>
      </c>
      <c r="N30" s="22">
        <f t="shared" si="11"/>
        <v>4.6533902757382763E-2</v>
      </c>
      <c r="O30" s="14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05" t="s">
        <v>229</v>
      </c>
      <c r="B31" s="70">
        <f t="shared" ref="B31:M31" si="12">(B9/$S$5)*$S$6+(B82*0.25)</f>
        <v>1856.8360741032695</v>
      </c>
      <c r="C31" s="70">
        <f t="shared" si="12"/>
        <v>1649.3898945946355</v>
      </c>
      <c r="D31" s="70">
        <f t="shared" si="12"/>
        <v>1649.3898945946355</v>
      </c>
      <c r="E31" s="70">
        <f t="shared" si="12"/>
        <v>2064.2773171204699</v>
      </c>
      <c r="F31" s="70">
        <f t="shared" si="12"/>
        <v>2479.159803154871</v>
      </c>
      <c r="G31" s="70">
        <f t="shared" si="12"/>
        <v>2479.159803154871</v>
      </c>
      <c r="H31" s="70">
        <f t="shared" si="12"/>
        <v>1649.3898945946355</v>
      </c>
      <c r="I31" s="70">
        <f t="shared" si="12"/>
        <v>1591.9561515774353</v>
      </c>
      <c r="J31" s="70">
        <f t="shared" si="12"/>
        <v>2064.2773171204699</v>
      </c>
      <c r="K31" s="70">
        <f t="shared" si="12"/>
        <v>2271.7185601376705</v>
      </c>
      <c r="L31" s="70">
        <f t="shared" si="12"/>
        <v>3516.3758912237399</v>
      </c>
      <c r="M31" s="70">
        <f t="shared" si="12"/>
        <v>2629.1673031548708</v>
      </c>
      <c r="N31" s="70">
        <f>SUM(B31:M31)</f>
        <v>25901.097904531573</v>
      </c>
      <c r="O31" s="14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05" t="s">
        <v>230</v>
      </c>
      <c r="B32" s="22">
        <f>(B9-B31)/B9</f>
        <v>0.36875804875533064</v>
      </c>
      <c r="C32" s="22">
        <f t="shared" ref="C32:N32" si="13">(C9-C31)/C9</f>
        <v>0.34582545934303105</v>
      </c>
      <c r="D32" s="22">
        <f t="shared" si="13"/>
        <v>0.34582545934303105</v>
      </c>
      <c r="E32" s="22">
        <f t="shared" si="13"/>
        <v>0.38595704742116682</v>
      </c>
      <c r="F32" s="22">
        <f t="shared" si="13"/>
        <v>0.41003569466737322</v>
      </c>
      <c r="G32" s="22">
        <f t="shared" si="13"/>
        <v>0.41003569466737322</v>
      </c>
      <c r="H32" s="22">
        <f t="shared" si="13"/>
        <v>0.34582545934303105</v>
      </c>
      <c r="I32" s="22">
        <f t="shared" si="13"/>
        <v>0.24232612686749613</v>
      </c>
      <c r="J32" s="22">
        <f t="shared" si="13"/>
        <v>0.38595704742116682</v>
      </c>
      <c r="K32" s="22">
        <f t="shared" si="13"/>
        <v>0.39933406659501047</v>
      </c>
      <c r="L32" s="22">
        <f t="shared" si="13"/>
        <v>0.44214085052944313</v>
      </c>
      <c r="M32" s="22">
        <f t="shared" si="13"/>
        <v>0.37433849176033845</v>
      </c>
      <c r="N32" s="22">
        <f t="shared" si="13"/>
        <v>0.3836332800948743</v>
      </c>
      <c r="O32" s="14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0" t="s">
        <v>231</v>
      </c>
      <c r="B33" s="36">
        <f>B27+B29+B31</f>
        <v>4110.7924907151228</v>
      </c>
      <c r="C33" s="36">
        <f t="shared" ref="C33:N33" si="14">C27+C29+C31</f>
        <v>5351.1736786892798</v>
      </c>
      <c r="D33" s="36">
        <f t="shared" si="14"/>
        <v>4007.066932715089</v>
      </c>
      <c r="E33" s="36">
        <f t="shared" si="14"/>
        <v>5614.7489073269753</v>
      </c>
      <c r="F33" s="36">
        <f t="shared" si="14"/>
        <v>6263.0040258785848</v>
      </c>
      <c r="G33" s="36">
        <f t="shared" si="14"/>
        <v>5848.1166033527516</v>
      </c>
      <c r="H33" s="36">
        <f t="shared" si="14"/>
        <v>4007.066932715089</v>
      </c>
      <c r="I33" s="36">
        <f t="shared" si="14"/>
        <v>4299.610410697871</v>
      </c>
      <c r="J33" s="36">
        <f t="shared" si="14"/>
        <v>6055.5677193528181</v>
      </c>
      <c r="K33" s="36">
        <f t="shared" si="14"/>
        <v>6237.07757287001</v>
      </c>
      <c r="L33" s="36">
        <f t="shared" si="14"/>
        <v>9219.0688895765743</v>
      </c>
      <c r="M33" s="36">
        <f t="shared" si="14"/>
        <v>7087.2029704216357</v>
      </c>
      <c r="N33" s="36">
        <f t="shared" si="14"/>
        <v>68100.497134311794</v>
      </c>
      <c r="O33" s="14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7" t="s">
        <v>232</v>
      </c>
      <c r="B34" s="103">
        <f>(B10-B33)/B10</f>
        <v>0.31351439743442105</v>
      </c>
      <c r="C34" s="103">
        <f t="shared" ref="C34:N34" si="15">(C10-C33)/C10</f>
        <v>-5.0240261636814366E-2</v>
      </c>
      <c r="D34" s="103">
        <f t="shared" si="15"/>
        <v>0.30650185915402434</v>
      </c>
      <c r="E34" s="103">
        <f t="shared" si="15"/>
        <v>0.37854060560113528</v>
      </c>
      <c r="F34" s="103">
        <f t="shared" si="15"/>
        <v>0.39476012919649128</v>
      </c>
      <c r="G34" s="103">
        <f t="shared" si="15"/>
        <v>0.38489568222283504</v>
      </c>
      <c r="H34" s="103">
        <f t="shared" si="15"/>
        <v>0.30650185915402445</v>
      </c>
      <c r="I34" s="103">
        <f t="shared" si="15"/>
        <v>0.18145846654282013</v>
      </c>
      <c r="J34" s="103">
        <f t="shared" si="15"/>
        <v>0.3900368543001827</v>
      </c>
      <c r="K34" s="103">
        <f t="shared" si="15"/>
        <v>0.39419087335958997</v>
      </c>
      <c r="L34" s="103">
        <f t="shared" si="15"/>
        <v>0.43566487536994164</v>
      </c>
      <c r="M34" s="103">
        <f t="shared" si="15"/>
        <v>0.39496461660947135</v>
      </c>
      <c r="N34" s="103">
        <f t="shared" si="15"/>
        <v>0.35176690646377162</v>
      </c>
      <c r="O34" s="1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7"/>
      <c r="O35" s="1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0" t="s">
        <v>233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1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 x14ac:dyDescent="0.25">
      <c r="A37" s="90" t="s">
        <v>234</v>
      </c>
      <c r="B37" s="70">
        <f t="shared" ref="B37:M37" si="16">(B12*$S$6)+B136</f>
        <v>12727.255034510648</v>
      </c>
      <c r="C37" s="70">
        <f t="shared" si="16"/>
        <v>16418.516066684562</v>
      </c>
      <c r="D37" s="70">
        <f t="shared" si="16"/>
        <v>13472.071652727613</v>
      </c>
      <c r="E37" s="70">
        <f t="shared" si="16"/>
        <v>11803.628215515584</v>
      </c>
      <c r="F37" s="70">
        <f t="shared" si="16"/>
        <v>14367.072629472535</v>
      </c>
      <c r="G37" s="70">
        <f t="shared" si="16"/>
        <v>12680.070675982688</v>
      </c>
      <c r="H37" s="70">
        <f t="shared" si="16"/>
        <v>14838.109501178127</v>
      </c>
      <c r="I37" s="70">
        <f t="shared" si="16"/>
        <v>18906.11340815782</v>
      </c>
      <c r="J37" s="70">
        <f t="shared" si="16"/>
        <v>16689.000839551198</v>
      </c>
      <c r="K37" s="70">
        <f t="shared" si="16"/>
        <v>17324.332684901525</v>
      </c>
      <c r="L37" s="70">
        <f t="shared" si="16"/>
        <v>13979.888270944575</v>
      </c>
      <c r="M37" s="70">
        <f t="shared" si="16"/>
        <v>14068.998886061352</v>
      </c>
      <c r="N37" s="125">
        <f>SUM(B37:M37)</f>
        <v>177275.05786568823</v>
      </c>
      <c r="O37" s="14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90" t="s">
        <v>235</v>
      </c>
      <c r="B38" s="74">
        <f>(B15-B37)/B15</f>
        <v>0.21247350670218534</v>
      </c>
      <c r="C38" s="74">
        <f t="shared" ref="C38:N38" si="17">(C15-C37)/C15</f>
        <v>0.23872186138271356</v>
      </c>
      <c r="D38" s="74">
        <f t="shared" si="17"/>
        <v>0.21346767990969343</v>
      </c>
      <c r="E38" s="74">
        <f t="shared" si="17"/>
        <v>0.17029411655643054</v>
      </c>
      <c r="F38" s="74">
        <f t="shared" si="17"/>
        <v>0.23026171990001892</v>
      </c>
      <c r="G38" s="74">
        <f t="shared" si="17"/>
        <v>0.18675790944184914</v>
      </c>
      <c r="H38" s="74">
        <f t="shared" si="17"/>
        <v>0.20984320518746913</v>
      </c>
      <c r="I38" s="74">
        <f t="shared" si="17"/>
        <v>0.24146316535940332</v>
      </c>
      <c r="J38" s="74">
        <f t="shared" si="17"/>
        <v>0.22413332318844981</v>
      </c>
      <c r="K38" s="74">
        <f t="shared" si="17"/>
        <v>0.23120608398341894</v>
      </c>
      <c r="L38" s="74">
        <f t="shared" si="17"/>
        <v>0.22745249756741892</v>
      </c>
      <c r="M38" s="74">
        <f t="shared" si="17"/>
        <v>0.23692572073825771</v>
      </c>
      <c r="N38" s="74">
        <f t="shared" si="17"/>
        <v>0.22118145925400559</v>
      </c>
      <c r="O38" s="14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3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14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93" t="s">
        <v>236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7"/>
      <c r="O40" s="14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1.5" x14ac:dyDescent="0.25">
      <c r="A41" s="93" t="s">
        <v>237</v>
      </c>
      <c r="B41" s="70">
        <f>B132+B143</f>
        <v>1744.04</v>
      </c>
      <c r="C41" s="70">
        <f t="shared" ref="C41:M41" si="18">C132+C143</f>
        <v>1881.04</v>
      </c>
      <c r="D41" s="70">
        <f t="shared" si="18"/>
        <v>1747.03</v>
      </c>
      <c r="E41" s="70">
        <f t="shared" si="18"/>
        <v>2031.02</v>
      </c>
      <c r="F41" s="70">
        <f t="shared" si="18"/>
        <v>1939.02</v>
      </c>
      <c r="G41" s="70">
        <f t="shared" si="18"/>
        <v>2100.0500000000002</v>
      </c>
      <c r="H41" s="70">
        <f t="shared" si="18"/>
        <v>1700.05</v>
      </c>
      <c r="I41" s="70">
        <f t="shared" si="18"/>
        <v>1634.06</v>
      </c>
      <c r="J41" s="70">
        <f t="shared" si="18"/>
        <v>1447.0700000000002</v>
      </c>
      <c r="K41" s="70">
        <f t="shared" si="18"/>
        <v>1294.03</v>
      </c>
      <c r="L41" s="70">
        <f t="shared" si="18"/>
        <v>1195.02</v>
      </c>
      <c r="M41" s="70">
        <f t="shared" si="18"/>
        <v>1088.08</v>
      </c>
      <c r="N41" s="125">
        <f>SUM(B41:M41)</f>
        <v>19800.510000000002</v>
      </c>
      <c r="O41" s="14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34" t="s">
        <v>238</v>
      </c>
      <c r="B42" s="74">
        <f>(B19-B41)/B19</f>
        <v>-1.7356631948801606</v>
      </c>
      <c r="C42" s="74">
        <f t="shared" ref="C42:N42" si="19">(C19-C41)/C19</f>
        <v>-1.8895511382838182</v>
      </c>
      <c r="D42" s="74">
        <f t="shared" si="19"/>
        <v>-0.46842560917182885</v>
      </c>
      <c r="E42" s="74">
        <f t="shared" si="19"/>
        <v>-0.11977196793436898</v>
      </c>
      <c r="F42" s="74">
        <f t="shared" si="19"/>
        <v>-0.11600842609326255</v>
      </c>
      <c r="G42" s="74">
        <f t="shared" si="19"/>
        <v>-0.8271949744633833</v>
      </c>
      <c r="H42" s="74">
        <f t="shared" si="19"/>
        <v>-1.6666614380725311</v>
      </c>
      <c r="I42" s="74">
        <f t="shared" si="19"/>
        <v>-0.69288785288785282</v>
      </c>
      <c r="J42" s="74">
        <f t="shared" si="19"/>
        <v>0.20217997772607482</v>
      </c>
      <c r="K42" s="74">
        <f t="shared" si="19"/>
        <v>0.45307038491286944</v>
      </c>
      <c r="L42" s="74">
        <f t="shared" si="19"/>
        <v>0.57883273419327552</v>
      </c>
      <c r="M42" s="74">
        <f t="shared" si="19"/>
        <v>0.36389306238417335</v>
      </c>
      <c r="N42" s="74">
        <f t="shared" si="19"/>
        <v>-0.13085868228658315</v>
      </c>
      <c r="O42" s="14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3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7"/>
      <c r="O43" s="14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0" t="s">
        <v>64</v>
      </c>
      <c r="B44" s="101">
        <f>B33+B37+B41</f>
        <v>18582.087525225772</v>
      </c>
      <c r="C44" s="101">
        <f t="shared" ref="C44:N44" si="20">C33+C37+C41</f>
        <v>23650.729745373843</v>
      </c>
      <c r="D44" s="101">
        <f t="shared" si="20"/>
        <v>19226.168585442701</v>
      </c>
      <c r="E44" s="101">
        <f t="shared" si="20"/>
        <v>19449.397122842562</v>
      </c>
      <c r="F44" s="101">
        <f t="shared" si="20"/>
        <v>22569.096655351121</v>
      </c>
      <c r="G44" s="101">
        <f t="shared" si="20"/>
        <v>20628.237279335441</v>
      </c>
      <c r="H44" s="101">
        <f t="shared" si="20"/>
        <v>20545.226433893215</v>
      </c>
      <c r="I44" s="101">
        <f t="shared" si="20"/>
        <v>24839.783818855693</v>
      </c>
      <c r="J44" s="101">
        <f t="shared" si="20"/>
        <v>24191.638558904015</v>
      </c>
      <c r="K44" s="101">
        <f t="shared" si="20"/>
        <v>24855.440257771534</v>
      </c>
      <c r="L44" s="101">
        <f t="shared" si="20"/>
        <v>24393.97716052115</v>
      </c>
      <c r="M44" s="101">
        <f t="shared" si="20"/>
        <v>22244.281856482987</v>
      </c>
      <c r="N44" s="101">
        <f t="shared" si="20"/>
        <v>265176.065</v>
      </c>
      <c r="O44" s="14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0" t="s">
        <v>65</v>
      </c>
      <c r="B45" s="106">
        <f>B23-B44</f>
        <v>4204.6524747742296</v>
      </c>
      <c r="C45" s="106">
        <f t="shared" ref="C45:N45" si="21">C23-C44</f>
        <v>3662.4802546261562</v>
      </c>
      <c r="D45" s="106">
        <f t="shared" si="21"/>
        <v>4870.0514145572997</v>
      </c>
      <c r="E45" s="106">
        <f t="shared" si="21"/>
        <v>5625.4428771574385</v>
      </c>
      <c r="F45" s="106">
        <f t="shared" si="21"/>
        <v>8381.8933446488809</v>
      </c>
      <c r="G45" s="106">
        <f t="shared" si="21"/>
        <v>6021.9727206645584</v>
      </c>
      <c r="H45" s="106">
        <f t="shared" si="21"/>
        <v>4849.7135661067878</v>
      </c>
      <c r="I45" s="106">
        <f t="shared" si="21"/>
        <v>6634.6861811443086</v>
      </c>
      <c r="J45" s="106">
        <f t="shared" si="21"/>
        <v>9260.7214410959859</v>
      </c>
      <c r="K45" s="106">
        <f t="shared" si="21"/>
        <v>10760.429742228469</v>
      </c>
      <c r="L45" s="106">
        <f t="shared" si="21"/>
        <v>13076.092839478857</v>
      </c>
      <c r="M45" s="106">
        <f t="shared" si="21"/>
        <v>10749.888143517011</v>
      </c>
      <c r="N45" s="106">
        <f t="shared" si="21"/>
        <v>88098.024999999965</v>
      </c>
      <c r="O45" s="14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7" t="s">
        <v>66</v>
      </c>
      <c r="B46" s="102">
        <f>B45/B23</f>
        <v>0.18452189627714316</v>
      </c>
      <c r="C46" s="102">
        <f t="shared" ref="C46:N46" si="22">C45/C23</f>
        <v>0.13409190112133126</v>
      </c>
      <c r="D46" s="102">
        <f t="shared" si="22"/>
        <v>0.20210852218967537</v>
      </c>
      <c r="E46" s="102">
        <f t="shared" si="22"/>
        <v>0.22434611256372677</v>
      </c>
      <c r="F46" s="102">
        <f t="shared" si="22"/>
        <v>0.27081180100051339</v>
      </c>
      <c r="G46" s="102">
        <f t="shared" si="22"/>
        <v>0.22596342470339104</v>
      </c>
      <c r="H46" s="102">
        <f t="shared" si="22"/>
        <v>0.1909716489232417</v>
      </c>
      <c r="I46" s="102">
        <f t="shared" si="22"/>
        <v>0.21079580311103915</v>
      </c>
      <c r="J46" s="102">
        <f t="shared" si="22"/>
        <v>0.27683312750119832</v>
      </c>
      <c r="K46" s="102">
        <f t="shared" si="22"/>
        <v>0.30212457935825993</v>
      </c>
      <c r="L46" s="102">
        <f t="shared" si="22"/>
        <v>0.3489743371036898</v>
      </c>
      <c r="M46" s="102">
        <f t="shared" si="22"/>
        <v>0.32581174624235165</v>
      </c>
      <c r="N46" s="102">
        <f t="shared" si="22"/>
        <v>0.24937584581988442</v>
      </c>
      <c r="O46" s="14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34"/>
      <c r="O47" s="14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0" t="s">
        <v>67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4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04" t="s">
        <v>68</v>
      </c>
      <c r="B49" s="8">
        <v>250</v>
      </c>
      <c r="C49" s="21">
        <v>1931.2</v>
      </c>
      <c r="D49" s="8">
        <v>250</v>
      </c>
      <c r="E49" s="8">
        <v>250</v>
      </c>
      <c r="F49" s="8">
        <v>250</v>
      </c>
      <c r="G49" s="8">
        <v>250</v>
      </c>
      <c r="H49" s="8">
        <v>250</v>
      </c>
      <c r="I49" s="8">
        <v>399.43</v>
      </c>
      <c r="J49" s="8">
        <v>250</v>
      </c>
      <c r="K49" s="8">
        <v>250</v>
      </c>
      <c r="L49" s="8">
        <v>250</v>
      </c>
      <c r="M49" s="8">
        <v>250</v>
      </c>
      <c r="N49" s="20">
        <f>SUM(B49:M49)</f>
        <v>4830.6299999999992</v>
      </c>
      <c r="O49" s="14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04" t="s">
        <v>241</v>
      </c>
      <c r="B50" s="8">
        <f>B49*-1</f>
        <v>-250</v>
      </c>
      <c r="C50" s="8">
        <f t="shared" ref="C50:M50" si="23">C49*-1</f>
        <v>-1931.2</v>
      </c>
      <c r="D50" s="8">
        <f t="shared" si="23"/>
        <v>-250</v>
      </c>
      <c r="E50" s="8">
        <f t="shared" si="23"/>
        <v>-250</v>
      </c>
      <c r="F50" s="8">
        <f t="shared" si="23"/>
        <v>-250</v>
      </c>
      <c r="G50" s="8">
        <f t="shared" si="23"/>
        <v>-250</v>
      </c>
      <c r="H50" s="8">
        <f t="shared" si="23"/>
        <v>-250</v>
      </c>
      <c r="I50" s="8">
        <f t="shared" si="23"/>
        <v>-399.43</v>
      </c>
      <c r="J50" s="8">
        <f t="shared" si="23"/>
        <v>-250</v>
      </c>
      <c r="K50" s="8">
        <f t="shared" si="23"/>
        <v>-250</v>
      </c>
      <c r="L50" s="8">
        <f t="shared" si="23"/>
        <v>-250</v>
      </c>
      <c r="M50" s="8">
        <f t="shared" si="23"/>
        <v>-250</v>
      </c>
      <c r="N50" s="20">
        <f t="shared" ref="N50:N54" si="24">SUM(B50:M50)</f>
        <v>-4830.6299999999992</v>
      </c>
      <c r="O50" s="14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0" t="s">
        <v>69</v>
      </c>
      <c r="B51" s="8"/>
      <c r="C51" s="8"/>
      <c r="D51" s="8">
        <v>200</v>
      </c>
      <c r="E51" s="8">
        <v>100</v>
      </c>
      <c r="F51" s="13">
        <v>250</v>
      </c>
      <c r="G51" s="13">
        <v>112.24</v>
      </c>
      <c r="H51" s="13"/>
      <c r="I51" s="13">
        <v>450</v>
      </c>
      <c r="J51" s="13">
        <v>50</v>
      </c>
      <c r="K51" s="13">
        <v>25</v>
      </c>
      <c r="L51" s="13"/>
      <c r="M51" s="13">
        <v>200</v>
      </c>
      <c r="N51" s="20">
        <f t="shared" si="24"/>
        <v>1387.24</v>
      </c>
      <c r="O51" s="14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0" t="s">
        <v>70</v>
      </c>
      <c r="B52" s="8"/>
      <c r="C52" s="8"/>
      <c r="D52" s="8">
        <v>51.55</v>
      </c>
      <c r="E52" s="8">
        <v>58.65</v>
      </c>
      <c r="F52" s="8">
        <v>40.549999999999997</v>
      </c>
      <c r="G52" s="13">
        <v>76.55</v>
      </c>
      <c r="H52" s="13">
        <v>42.97</v>
      </c>
      <c r="I52" s="13">
        <v>86.55</v>
      </c>
      <c r="J52" s="13">
        <v>55.65</v>
      </c>
      <c r="K52" s="13">
        <v>44.55</v>
      </c>
      <c r="L52" s="13">
        <v>3.9</v>
      </c>
      <c r="M52" s="13"/>
      <c r="N52" s="20">
        <f t="shared" si="24"/>
        <v>460.91999999999996</v>
      </c>
      <c r="O52" s="14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75" t="s">
        <v>71</v>
      </c>
      <c r="B53" s="8">
        <v>500</v>
      </c>
      <c r="C53" s="8">
        <v>500</v>
      </c>
      <c r="D53" s="8">
        <v>500</v>
      </c>
      <c r="E53" s="8">
        <v>500</v>
      </c>
      <c r="F53" s="8">
        <v>500</v>
      </c>
      <c r="G53" s="8">
        <v>500</v>
      </c>
      <c r="H53" s="8">
        <v>500</v>
      </c>
      <c r="I53" s="8">
        <v>752.41</v>
      </c>
      <c r="J53" s="8">
        <v>500</v>
      </c>
      <c r="K53" s="8">
        <v>500</v>
      </c>
      <c r="L53" s="8">
        <v>500</v>
      </c>
      <c r="M53" s="8">
        <v>500</v>
      </c>
      <c r="N53" s="20">
        <f t="shared" si="24"/>
        <v>6252.41</v>
      </c>
      <c r="O53" s="14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75" t="s">
        <v>241</v>
      </c>
      <c r="B54" s="8">
        <f>B53*-1</f>
        <v>-500</v>
      </c>
      <c r="C54" s="8">
        <f t="shared" ref="C54:M54" si="25">C53*-1</f>
        <v>-500</v>
      </c>
      <c r="D54" s="8">
        <f t="shared" si="25"/>
        <v>-500</v>
      </c>
      <c r="E54" s="8">
        <f t="shared" si="25"/>
        <v>-500</v>
      </c>
      <c r="F54" s="8">
        <f t="shared" si="25"/>
        <v>-500</v>
      </c>
      <c r="G54" s="8">
        <f t="shared" si="25"/>
        <v>-500</v>
      </c>
      <c r="H54" s="8">
        <f t="shared" si="25"/>
        <v>-500</v>
      </c>
      <c r="I54" s="8">
        <f t="shared" si="25"/>
        <v>-752.41</v>
      </c>
      <c r="J54" s="8">
        <f t="shared" si="25"/>
        <v>-500</v>
      </c>
      <c r="K54" s="8">
        <f t="shared" si="25"/>
        <v>-500</v>
      </c>
      <c r="L54" s="8">
        <f t="shared" si="25"/>
        <v>-500</v>
      </c>
      <c r="M54" s="8">
        <f t="shared" si="25"/>
        <v>-500</v>
      </c>
      <c r="N54" s="20">
        <f t="shared" si="24"/>
        <v>-6252.41</v>
      </c>
      <c r="O54" s="14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0" t="s">
        <v>72</v>
      </c>
      <c r="B55" s="12">
        <f>SUM(B49:B54)</f>
        <v>0</v>
      </c>
      <c r="C55" s="12">
        <f t="shared" ref="C55:N55" si="26">SUM(C49:C54)</f>
        <v>0</v>
      </c>
      <c r="D55" s="12">
        <f t="shared" si="26"/>
        <v>251.54999999999995</v>
      </c>
      <c r="E55" s="12">
        <f t="shared" si="26"/>
        <v>158.64999999999998</v>
      </c>
      <c r="F55" s="12">
        <f t="shared" si="26"/>
        <v>290.54999999999995</v>
      </c>
      <c r="G55" s="12">
        <f t="shared" si="26"/>
        <v>188.78999999999996</v>
      </c>
      <c r="H55" s="12">
        <f t="shared" si="26"/>
        <v>42.970000000000027</v>
      </c>
      <c r="I55" s="12">
        <f t="shared" si="26"/>
        <v>536.55000000000007</v>
      </c>
      <c r="J55" s="12">
        <f t="shared" si="26"/>
        <v>105.64999999999998</v>
      </c>
      <c r="K55" s="12">
        <f t="shared" si="26"/>
        <v>69.549999999999955</v>
      </c>
      <c r="L55" s="12">
        <f t="shared" si="26"/>
        <v>3.8999999999999773</v>
      </c>
      <c r="M55" s="12">
        <f t="shared" si="26"/>
        <v>200</v>
      </c>
      <c r="N55" s="12">
        <f t="shared" si="26"/>
        <v>1848.1599999999999</v>
      </c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34" t="s">
        <v>73</v>
      </c>
      <c r="B56" s="13">
        <v>750</v>
      </c>
      <c r="C56" s="13">
        <v>750</v>
      </c>
      <c r="D56" s="13">
        <v>750</v>
      </c>
      <c r="E56" s="13">
        <v>750</v>
      </c>
      <c r="F56" s="13">
        <v>750</v>
      </c>
      <c r="G56" s="13">
        <v>750</v>
      </c>
      <c r="H56" s="13">
        <v>750</v>
      </c>
      <c r="I56" s="13">
        <v>750</v>
      </c>
      <c r="J56" s="13">
        <v>750</v>
      </c>
      <c r="K56" s="13">
        <v>750</v>
      </c>
      <c r="L56" s="13">
        <v>750</v>
      </c>
      <c r="M56" s="13">
        <v>826.42</v>
      </c>
      <c r="N56" s="112">
        <f>SUM(B56:M56)</f>
        <v>9076.42</v>
      </c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0" t="s">
        <v>74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12">
        <f t="shared" ref="N57:N63" si="27">SUM(B57:M57)</f>
        <v>0</v>
      </c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0" t="s">
        <v>75</v>
      </c>
      <c r="B58" s="8"/>
      <c r="C58" s="8"/>
      <c r="D58" s="8"/>
      <c r="E58" s="8"/>
      <c r="F58" s="8"/>
      <c r="G58" s="8">
        <v>97.96</v>
      </c>
      <c r="H58" s="8"/>
      <c r="I58" s="8"/>
      <c r="J58" s="8"/>
      <c r="K58" s="8"/>
      <c r="L58" s="8"/>
      <c r="M58" s="8"/>
      <c r="N58" s="112">
        <f t="shared" si="27"/>
        <v>97.96</v>
      </c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0" t="s">
        <v>76</v>
      </c>
      <c r="B59" s="13">
        <v>103.56</v>
      </c>
      <c r="C59" s="13">
        <v>106.46</v>
      </c>
      <c r="D59" s="13">
        <v>118.44</v>
      </c>
      <c r="E59" s="13">
        <v>165.13</v>
      </c>
      <c r="F59" s="13">
        <v>167.55</v>
      </c>
      <c r="G59" s="13">
        <v>163.69999999999999</v>
      </c>
      <c r="H59" s="13">
        <v>126.24</v>
      </c>
      <c r="I59" s="13">
        <v>93.22</v>
      </c>
      <c r="J59" s="13">
        <v>109.01</v>
      </c>
      <c r="K59" s="13">
        <v>135.97</v>
      </c>
      <c r="L59" s="13">
        <v>132.30000000000001</v>
      </c>
      <c r="M59" s="13">
        <v>145.02000000000001</v>
      </c>
      <c r="N59" s="20">
        <f t="shared" si="27"/>
        <v>1566.6</v>
      </c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0" t="s">
        <v>77</v>
      </c>
      <c r="B60" s="13">
        <v>5.37</v>
      </c>
      <c r="C60" s="13">
        <v>4.29</v>
      </c>
      <c r="D60" s="13">
        <v>8.0500000000000007</v>
      </c>
      <c r="E60" s="13"/>
      <c r="F60" s="13">
        <v>1.28</v>
      </c>
      <c r="G60" s="13">
        <v>6.45</v>
      </c>
      <c r="H60" s="13">
        <v>4.21</v>
      </c>
      <c r="I60" s="13">
        <v>6.89</v>
      </c>
      <c r="J60" s="13">
        <v>8.43</v>
      </c>
      <c r="K60" s="13">
        <v>4.3899999999999997</v>
      </c>
      <c r="L60" s="13"/>
      <c r="M60" s="13">
        <v>8.4499999999999993</v>
      </c>
      <c r="N60" s="20">
        <f t="shared" si="27"/>
        <v>57.81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0" t="s">
        <v>78</v>
      </c>
      <c r="B61" s="13">
        <v>37.72</v>
      </c>
      <c r="C61" s="13">
        <v>45.04</v>
      </c>
      <c r="D61" s="13">
        <v>57.61</v>
      </c>
      <c r="E61" s="13">
        <v>66.67</v>
      </c>
      <c r="F61" s="13">
        <v>60.27</v>
      </c>
      <c r="G61" s="13">
        <v>53.63</v>
      </c>
      <c r="H61" s="13">
        <v>68.11</v>
      </c>
      <c r="I61" s="13">
        <v>95.96</v>
      </c>
      <c r="J61" s="13">
        <v>76.75</v>
      </c>
      <c r="K61" s="13">
        <v>110.66</v>
      </c>
      <c r="L61" s="13">
        <v>75.95</v>
      </c>
      <c r="M61" s="13">
        <v>74.930000000000007</v>
      </c>
      <c r="N61" s="20">
        <f t="shared" si="27"/>
        <v>823.3</v>
      </c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0" t="s">
        <v>79</v>
      </c>
      <c r="B62" s="13">
        <v>341.6</v>
      </c>
      <c r="C62" s="13">
        <v>434.18</v>
      </c>
      <c r="D62" s="13">
        <v>342.85</v>
      </c>
      <c r="E62" s="13">
        <v>287.10000000000002</v>
      </c>
      <c r="F62" s="13">
        <v>378.43</v>
      </c>
      <c r="G62" s="13">
        <v>313.27999999999997</v>
      </c>
      <c r="H62" s="13">
        <v>383.68</v>
      </c>
      <c r="I62" s="13">
        <v>497.99</v>
      </c>
      <c r="J62" s="13">
        <v>434.05</v>
      </c>
      <c r="K62" s="13">
        <v>455.43</v>
      </c>
      <c r="L62" s="13">
        <v>380.1</v>
      </c>
      <c r="M62" s="13">
        <v>361.43</v>
      </c>
      <c r="N62" s="20">
        <f t="shared" si="27"/>
        <v>4610.12</v>
      </c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0" t="s">
        <v>80</v>
      </c>
      <c r="B63" s="12">
        <v>488.25</v>
      </c>
      <c r="C63" s="12">
        <v>589.97</v>
      </c>
      <c r="D63" s="12">
        <v>526.95000000000005</v>
      </c>
      <c r="E63" s="12">
        <v>518.9</v>
      </c>
      <c r="F63" s="12">
        <v>607.53</v>
      </c>
      <c r="G63" s="12">
        <v>537.05999999999995</v>
      </c>
      <c r="H63" s="12">
        <v>582.24</v>
      </c>
      <c r="I63" s="12">
        <v>694.06</v>
      </c>
      <c r="J63" s="12">
        <v>628.24</v>
      </c>
      <c r="K63" s="12">
        <v>706.45</v>
      </c>
      <c r="L63" s="12">
        <v>588.35</v>
      </c>
      <c r="M63" s="12">
        <v>589.83000000000004</v>
      </c>
      <c r="N63" s="113">
        <f t="shared" si="27"/>
        <v>7057.8300000000008</v>
      </c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0" t="s">
        <v>81</v>
      </c>
      <c r="B64" s="8"/>
      <c r="C64" s="8"/>
      <c r="D64" s="8"/>
      <c r="E64" s="8"/>
      <c r="F64" s="13"/>
      <c r="G64" s="8">
        <v>74</v>
      </c>
      <c r="H64" s="13"/>
      <c r="I64" s="8"/>
      <c r="J64" s="13"/>
      <c r="K64" s="13"/>
      <c r="L64" s="13"/>
      <c r="M64" s="13">
        <v>100</v>
      </c>
      <c r="N64" s="126">
        <f>SUM(B64:M64)</f>
        <v>174</v>
      </c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0" t="s">
        <v>82</v>
      </c>
      <c r="B65" s="13">
        <v>17.32</v>
      </c>
      <c r="C65" s="13">
        <v>29.63</v>
      </c>
      <c r="D65" s="13">
        <v>9.66</v>
      </c>
      <c r="E65" s="13">
        <v>151.71</v>
      </c>
      <c r="F65" s="13">
        <v>76.55</v>
      </c>
      <c r="G65" s="13">
        <v>42.97</v>
      </c>
      <c r="H65" s="13">
        <v>86.55</v>
      </c>
      <c r="I65" s="13">
        <v>29.15</v>
      </c>
      <c r="J65" s="13">
        <v>2</v>
      </c>
      <c r="K65" s="13">
        <v>44.21</v>
      </c>
      <c r="L65" s="13">
        <v>56.25</v>
      </c>
      <c r="M65" s="13">
        <v>128.94</v>
      </c>
      <c r="N65" s="126">
        <f t="shared" ref="N65:N74" si="28">SUM(B65:M65)</f>
        <v>674.94</v>
      </c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0" t="s">
        <v>83</v>
      </c>
      <c r="B66" s="13">
        <v>110</v>
      </c>
      <c r="C66" s="8"/>
      <c r="D66" s="13">
        <v>168.98</v>
      </c>
      <c r="E66" s="13">
        <v>261.29000000000002</v>
      </c>
      <c r="F66" s="8"/>
      <c r="G66" s="8"/>
      <c r="H66" s="8"/>
      <c r="I66" s="8"/>
      <c r="J66" s="13">
        <v>187.75</v>
      </c>
      <c r="K66" s="8"/>
      <c r="L66" s="13">
        <v>36</v>
      </c>
      <c r="M66" s="8"/>
      <c r="N66" s="119">
        <f t="shared" si="28"/>
        <v>764.02</v>
      </c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0" t="s">
        <v>84</v>
      </c>
      <c r="B67" s="8"/>
      <c r="C67" s="8"/>
      <c r="D67" s="8"/>
      <c r="E67" s="8"/>
      <c r="F67" s="8"/>
      <c r="G67" s="8"/>
      <c r="H67" s="8">
        <v>26.13</v>
      </c>
      <c r="I67" s="8"/>
      <c r="J67" s="8"/>
      <c r="K67" s="8"/>
      <c r="L67" s="13"/>
      <c r="M67" s="8"/>
      <c r="N67" s="127">
        <f t="shared" si="28"/>
        <v>26.13</v>
      </c>
      <c r="O67" s="8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0" t="s">
        <v>85</v>
      </c>
      <c r="B68" s="8">
        <v>175</v>
      </c>
      <c r="C68" s="8">
        <v>175</v>
      </c>
      <c r="D68" s="8">
        <v>393.84</v>
      </c>
      <c r="E68" s="8">
        <v>175</v>
      </c>
      <c r="F68" s="8">
        <v>175</v>
      </c>
      <c r="G68" s="8">
        <v>175</v>
      </c>
      <c r="H68" s="8">
        <v>175</v>
      </c>
      <c r="I68" s="8">
        <v>175</v>
      </c>
      <c r="J68" s="8">
        <v>175</v>
      </c>
      <c r="K68" s="8">
        <v>175</v>
      </c>
      <c r="L68" s="8">
        <v>175</v>
      </c>
      <c r="M68" s="8">
        <v>175</v>
      </c>
      <c r="N68" s="126">
        <f t="shared" si="28"/>
        <v>2318.84</v>
      </c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0" t="s">
        <v>86</v>
      </c>
      <c r="B69" s="13">
        <v>91.66</v>
      </c>
      <c r="C69" s="13">
        <v>91.66</v>
      </c>
      <c r="D69" s="13">
        <v>91.66</v>
      </c>
      <c r="E69" s="13">
        <v>91.66</v>
      </c>
      <c r="F69" s="13">
        <v>91.66</v>
      </c>
      <c r="G69" s="13">
        <v>91.66</v>
      </c>
      <c r="H69" s="13">
        <v>91.66</v>
      </c>
      <c r="I69" s="13">
        <v>123.25</v>
      </c>
      <c r="J69" s="13">
        <v>91.66</v>
      </c>
      <c r="K69" s="13">
        <v>91.66</v>
      </c>
      <c r="L69" s="13">
        <v>91.66</v>
      </c>
      <c r="M69" s="13">
        <v>91.66</v>
      </c>
      <c r="N69" s="126">
        <f t="shared" si="28"/>
        <v>1131.51</v>
      </c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0" t="s">
        <v>87</v>
      </c>
      <c r="B70" s="8">
        <v>1.07</v>
      </c>
      <c r="C70" s="8">
        <v>2.0499999999999998</v>
      </c>
      <c r="D70" s="13">
        <v>20.07</v>
      </c>
      <c r="E70" s="8">
        <v>7.06</v>
      </c>
      <c r="F70" s="8">
        <v>22.14</v>
      </c>
      <c r="G70" s="8">
        <v>30.04</v>
      </c>
      <c r="H70" s="8">
        <v>5.56</v>
      </c>
      <c r="I70" s="8">
        <v>4.87</v>
      </c>
      <c r="J70" s="8">
        <v>51.55</v>
      </c>
      <c r="K70" s="8">
        <v>58.65</v>
      </c>
      <c r="L70" s="8">
        <v>40.549999999999997</v>
      </c>
      <c r="M70" s="21">
        <v>1958.45</v>
      </c>
      <c r="N70" s="119">
        <f t="shared" si="28"/>
        <v>2202.06</v>
      </c>
      <c r="O70" s="14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0" t="s">
        <v>88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>
        <f>SUM(B71:M71)</f>
        <v>0</v>
      </c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0" t="s">
        <v>89</v>
      </c>
      <c r="B72" s="13"/>
      <c r="C72" s="13"/>
      <c r="D72" s="13"/>
      <c r="E72" s="13"/>
      <c r="F72" s="20">
        <v>1700</v>
      </c>
      <c r="G72" s="13"/>
      <c r="H72" s="13"/>
      <c r="I72" s="13">
        <v>131.05000000000001</v>
      </c>
      <c r="J72" s="13"/>
      <c r="K72" s="13"/>
      <c r="L72" s="13"/>
      <c r="M72" s="13"/>
      <c r="N72" s="13">
        <f t="shared" si="28"/>
        <v>1831.05</v>
      </c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0" t="s">
        <v>90</v>
      </c>
      <c r="B73" s="13">
        <v>257.54000000000002</v>
      </c>
      <c r="C73" s="13">
        <v>659.94</v>
      </c>
      <c r="D73" s="13">
        <v>808.54</v>
      </c>
      <c r="E73" s="13">
        <v>363.98</v>
      </c>
      <c r="F73" s="13">
        <v>409.63</v>
      </c>
      <c r="G73" s="13">
        <v>245.29</v>
      </c>
      <c r="H73" s="13">
        <v>381.06</v>
      </c>
      <c r="I73" s="13">
        <v>289.06</v>
      </c>
      <c r="J73" s="13">
        <v>276.48</v>
      </c>
      <c r="K73" s="13">
        <v>276.06</v>
      </c>
      <c r="L73" s="13">
        <v>275.38</v>
      </c>
      <c r="M73" s="13">
        <v>200.19</v>
      </c>
      <c r="N73" s="13">
        <f t="shared" si="28"/>
        <v>4443.1499999999996</v>
      </c>
      <c r="O73" s="8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0" t="s">
        <v>91</v>
      </c>
      <c r="B74" s="13"/>
      <c r="C74" s="13"/>
      <c r="D74" s="13"/>
      <c r="E74" s="13"/>
      <c r="F74" s="13">
        <v>150.22</v>
      </c>
      <c r="G74" s="13"/>
      <c r="H74" s="13"/>
      <c r="I74" s="13"/>
      <c r="J74" s="13"/>
      <c r="K74" s="13"/>
      <c r="L74" s="13"/>
      <c r="M74" s="13"/>
      <c r="N74" s="13">
        <f t="shared" si="28"/>
        <v>150.22</v>
      </c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0" t="s">
        <v>92</v>
      </c>
      <c r="B75" s="12">
        <f>SUM(B71:B74)</f>
        <v>257.54000000000002</v>
      </c>
      <c r="C75" s="12">
        <f t="shared" ref="C75:N75" si="29">SUM(C71:C74)</f>
        <v>659.94</v>
      </c>
      <c r="D75" s="12">
        <f t="shared" si="29"/>
        <v>808.54</v>
      </c>
      <c r="E75" s="12">
        <f t="shared" si="29"/>
        <v>363.98</v>
      </c>
      <c r="F75" s="12">
        <f t="shared" si="29"/>
        <v>2259.85</v>
      </c>
      <c r="G75" s="12">
        <f t="shared" si="29"/>
        <v>245.29</v>
      </c>
      <c r="H75" s="12">
        <f t="shared" si="29"/>
        <v>381.06</v>
      </c>
      <c r="I75" s="12">
        <f t="shared" si="29"/>
        <v>420.11</v>
      </c>
      <c r="J75" s="12">
        <f t="shared" si="29"/>
        <v>276.48</v>
      </c>
      <c r="K75" s="12">
        <f t="shared" si="29"/>
        <v>276.06</v>
      </c>
      <c r="L75" s="12">
        <f t="shared" si="29"/>
        <v>275.38</v>
      </c>
      <c r="M75" s="12">
        <f t="shared" si="29"/>
        <v>200.19</v>
      </c>
      <c r="N75" s="12">
        <f t="shared" si="29"/>
        <v>6424.42</v>
      </c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0" t="s">
        <v>93</v>
      </c>
      <c r="B76" s="8">
        <v>100</v>
      </c>
      <c r="C76" s="8">
        <v>100</v>
      </c>
      <c r="D76" s="8">
        <v>310.24</v>
      </c>
      <c r="E76" s="8">
        <v>100</v>
      </c>
      <c r="F76" s="8">
        <v>100</v>
      </c>
      <c r="G76" s="8">
        <v>100</v>
      </c>
      <c r="H76" s="8">
        <v>100</v>
      </c>
      <c r="I76" s="8">
        <v>100</v>
      </c>
      <c r="J76" s="8">
        <v>100</v>
      </c>
      <c r="K76" s="8">
        <v>100</v>
      </c>
      <c r="L76" s="8">
        <v>100</v>
      </c>
      <c r="M76" s="8">
        <v>202.09</v>
      </c>
      <c r="N76" s="112">
        <f>SUM(B76:M76)</f>
        <v>1512.33</v>
      </c>
      <c r="O76" s="13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0" t="s">
        <v>94</v>
      </c>
      <c r="B77" s="13"/>
      <c r="C77" s="13"/>
      <c r="D77" s="13"/>
      <c r="E77" s="13"/>
      <c r="F77" s="13">
        <v>179.66</v>
      </c>
      <c r="G77" s="13"/>
      <c r="H77" s="13"/>
      <c r="I77" s="13"/>
      <c r="J77" s="13"/>
      <c r="K77" s="13"/>
      <c r="L77" s="13"/>
      <c r="M77" s="13"/>
      <c r="N77" s="20">
        <f t="shared" ref="N77:N79" si="30">SUM(B77:M77)</f>
        <v>179.66</v>
      </c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0" t="s">
        <v>95</v>
      </c>
      <c r="B78" s="13">
        <v>75.3</v>
      </c>
      <c r="C78" s="13">
        <v>22.85</v>
      </c>
      <c r="D78" s="13">
        <v>106.12</v>
      </c>
      <c r="E78" s="13">
        <v>107.83</v>
      </c>
      <c r="F78" s="13">
        <v>175.05</v>
      </c>
      <c r="G78" s="13">
        <v>90.05</v>
      </c>
      <c r="H78" s="13">
        <v>101.23</v>
      </c>
      <c r="I78" s="13">
        <v>136.94</v>
      </c>
      <c r="J78" s="13">
        <v>121.28</v>
      </c>
      <c r="K78" s="13">
        <v>181.91</v>
      </c>
      <c r="L78" s="13">
        <v>192.41</v>
      </c>
      <c r="M78" s="13">
        <v>148.4</v>
      </c>
      <c r="N78" s="20">
        <f t="shared" si="30"/>
        <v>1459.3700000000003</v>
      </c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0" t="s">
        <v>96</v>
      </c>
      <c r="B79" s="13">
        <v>428.76</v>
      </c>
      <c r="C79" s="13">
        <v>457.94</v>
      </c>
      <c r="D79" s="13">
        <v>505.56</v>
      </c>
      <c r="E79" s="13">
        <v>539.97</v>
      </c>
      <c r="F79" s="13">
        <v>497.88</v>
      </c>
      <c r="G79" s="13">
        <v>455.6</v>
      </c>
      <c r="H79" s="13">
        <v>447.19</v>
      </c>
      <c r="I79" s="13">
        <v>543.97</v>
      </c>
      <c r="J79" s="13">
        <v>559.33000000000004</v>
      </c>
      <c r="K79" s="13">
        <v>592.37</v>
      </c>
      <c r="L79" s="13">
        <v>574.14</v>
      </c>
      <c r="M79" s="13">
        <v>459.48</v>
      </c>
      <c r="N79" s="20">
        <f t="shared" si="30"/>
        <v>6062.1900000000005</v>
      </c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0" t="s">
        <v>97</v>
      </c>
      <c r="B80" s="12">
        <f>SUM(B77:B79)</f>
        <v>504.06</v>
      </c>
      <c r="C80" s="12">
        <f t="shared" ref="C80:N80" si="31">SUM(C77:C79)</f>
        <v>480.79</v>
      </c>
      <c r="D80" s="12">
        <f t="shared" si="31"/>
        <v>611.68000000000006</v>
      </c>
      <c r="E80" s="12">
        <f t="shared" si="31"/>
        <v>647.80000000000007</v>
      </c>
      <c r="F80" s="12">
        <f t="shared" si="31"/>
        <v>852.59</v>
      </c>
      <c r="G80" s="12">
        <f t="shared" si="31"/>
        <v>545.65</v>
      </c>
      <c r="H80" s="12">
        <f t="shared" si="31"/>
        <v>548.41999999999996</v>
      </c>
      <c r="I80" s="12">
        <f t="shared" si="31"/>
        <v>680.91000000000008</v>
      </c>
      <c r="J80" s="12">
        <f t="shared" si="31"/>
        <v>680.61</v>
      </c>
      <c r="K80" s="12">
        <f t="shared" si="31"/>
        <v>774.28</v>
      </c>
      <c r="L80" s="12">
        <f t="shared" si="31"/>
        <v>766.55</v>
      </c>
      <c r="M80" s="12">
        <f t="shared" si="31"/>
        <v>607.88</v>
      </c>
      <c r="N80" s="12">
        <f t="shared" si="31"/>
        <v>7701.2200000000012</v>
      </c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0" t="s">
        <v>98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13">
        <v>0</v>
      </c>
      <c r="O81" s="8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05" t="s">
        <v>99</v>
      </c>
      <c r="B82" s="21">
        <v>1618.95</v>
      </c>
      <c r="C82" s="21">
        <v>1618.95</v>
      </c>
      <c r="D82" s="21">
        <v>1618.95</v>
      </c>
      <c r="E82" s="21">
        <v>1618.95</v>
      </c>
      <c r="F82" s="21">
        <v>1618.95</v>
      </c>
      <c r="G82" s="21">
        <v>1618.95</v>
      </c>
      <c r="H82" s="21">
        <v>1618.95</v>
      </c>
      <c r="I82" s="21">
        <v>2218.98</v>
      </c>
      <c r="J82" s="21">
        <v>1618.95</v>
      </c>
      <c r="K82" s="21">
        <v>1618.95</v>
      </c>
      <c r="L82" s="21">
        <v>1618.95</v>
      </c>
      <c r="M82" s="21">
        <v>2218.98</v>
      </c>
      <c r="N82" s="20">
        <f>SUM(B82:M82)</f>
        <v>20627.460000000003</v>
      </c>
      <c r="O82" s="14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05" t="s">
        <v>240</v>
      </c>
      <c r="B83" s="21">
        <f>B82*0.25*-1</f>
        <v>-404.73750000000001</v>
      </c>
      <c r="C83" s="21">
        <f t="shared" ref="C83:M83" si="32">C82*0.25*-1</f>
        <v>-404.73750000000001</v>
      </c>
      <c r="D83" s="21">
        <f t="shared" si="32"/>
        <v>-404.73750000000001</v>
      </c>
      <c r="E83" s="21">
        <f t="shared" si="32"/>
        <v>-404.73750000000001</v>
      </c>
      <c r="F83" s="21">
        <f t="shared" si="32"/>
        <v>-404.73750000000001</v>
      </c>
      <c r="G83" s="21">
        <f t="shared" si="32"/>
        <v>-404.73750000000001</v>
      </c>
      <c r="H83" s="21">
        <f t="shared" si="32"/>
        <v>-404.73750000000001</v>
      </c>
      <c r="I83" s="21">
        <f t="shared" si="32"/>
        <v>-554.745</v>
      </c>
      <c r="J83" s="21">
        <f t="shared" si="32"/>
        <v>-404.73750000000001</v>
      </c>
      <c r="K83" s="21">
        <f t="shared" si="32"/>
        <v>-404.73750000000001</v>
      </c>
      <c r="L83" s="21">
        <f t="shared" si="32"/>
        <v>-404.73750000000001</v>
      </c>
      <c r="M83" s="21">
        <f t="shared" si="32"/>
        <v>-554.745</v>
      </c>
      <c r="N83" s="20">
        <f t="shared" ref="N83:N100" si="33">SUM(B83:M83)</f>
        <v>-5156.8650000000007</v>
      </c>
      <c r="O83" s="14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0" t="s">
        <v>100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0">
        <f t="shared" si="33"/>
        <v>0</v>
      </c>
      <c r="O84" s="14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0" t="s">
        <v>101</v>
      </c>
      <c r="B85" s="21">
        <v>1400</v>
      </c>
      <c r="C85" s="21">
        <v>1400</v>
      </c>
      <c r="D85" s="21">
        <v>1400</v>
      </c>
      <c r="E85" s="21">
        <v>1900</v>
      </c>
      <c r="F85" s="21">
        <v>1400</v>
      </c>
      <c r="G85" s="21">
        <v>1400</v>
      </c>
      <c r="H85" s="21">
        <v>1400</v>
      </c>
      <c r="I85" s="21">
        <v>1400</v>
      </c>
      <c r="J85" s="21">
        <v>1581.37</v>
      </c>
      <c r="K85" s="21">
        <v>1400</v>
      </c>
      <c r="L85" s="21">
        <v>1400</v>
      </c>
      <c r="M85" s="21">
        <v>1400</v>
      </c>
      <c r="N85" s="20">
        <f t="shared" si="33"/>
        <v>17481.37</v>
      </c>
      <c r="O85" s="14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0" t="s">
        <v>102</v>
      </c>
      <c r="B86" s="8"/>
      <c r="C86" s="8"/>
      <c r="D86" s="8"/>
      <c r="E86" s="8"/>
      <c r="F86" s="8">
        <v>50</v>
      </c>
      <c r="G86" s="8"/>
      <c r="H86" s="8"/>
      <c r="I86" s="8">
        <v>50</v>
      </c>
      <c r="J86" s="8">
        <v>16</v>
      </c>
      <c r="K86" s="8"/>
      <c r="L86" s="8"/>
      <c r="M86" s="8"/>
      <c r="N86" s="20">
        <f t="shared" si="33"/>
        <v>116</v>
      </c>
      <c r="O86" s="14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0" t="s">
        <v>103</v>
      </c>
      <c r="B87" s="8">
        <v>178.33</v>
      </c>
      <c r="C87" s="8">
        <v>178.33</v>
      </c>
      <c r="D87" s="8">
        <v>178.33</v>
      </c>
      <c r="E87" s="8">
        <v>178.33</v>
      </c>
      <c r="F87" s="8">
        <v>178.33</v>
      </c>
      <c r="G87" s="8">
        <v>178.33</v>
      </c>
      <c r="H87" s="8">
        <v>178.33</v>
      </c>
      <c r="I87" s="8">
        <v>178.33</v>
      </c>
      <c r="J87" s="8">
        <v>178.33</v>
      </c>
      <c r="K87" s="8">
        <v>178.33</v>
      </c>
      <c r="L87" s="8">
        <v>178.33</v>
      </c>
      <c r="M87" s="8">
        <v>178.33</v>
      </c>
      <c r="N87" s="20">
        <f t="shared" si="33"/>
        <v>2139.9599999999996</v>
      </c>
      <c r="O87" s="14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34" t="s">
        <v>104</v>
      </c>
      <c r="B88" s="12">
        <f>SUM(B82:B87)</f>
        <v>2792.5425</v>
      </c>
      <c r="C88" s="12">
        <f t="shared" ref="C88:M88" si="34">SUM(C82:C87)</f>
        <v>2792.5425</v>
      </c>
      <c r="D88" s="12">
        <f t="shared" si="34"/>
        <v>2792.5425</v>
      </c>
      <c r="E88" s="12">
        <f t="shared" si="34"/>
        <v>3292.5425</v>
      </c>
      <c r="F88" s="12">
        <f t="shared" si="34"/>
        <v>2842.5425</v>
      </c>
      <c r="G88" s="12">
        <f t="shared" si="34"/>
        <v>2792.5425</v>
      </c>
      <c r="H88" s="12">
        <f t="shared" si="34"/>
        <v>2792.5425</v>
      </c>
      <c r="I88" s="12">
        <f t="shared" si="34"/>
        <v>3292.5650000000001</v>
      </c>
      <c r="J88" s="12">
        <f t="shared" si="34"/>
        <v>2989.9124999999999</v>
      </c>
      <c r="K88" s="12">
        <f t="shared" si="34"/>
        <v>2792.5425</v>
      </c>
      <c r="L88" s="12">
        <f t="shared" si="34"/>
        <v>2792.5425</v>
      </c>
      <c r="M88" s="12">
        <f t="shared" si="34"/>
        <v>3242.5650000000001</v>
      </c>
      <c r="N88" s="113">
        <f t="shared" si="33"/>
        <v>35207.924999999996</v>
      </c>
      <c r="O88" s="8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0" t="s">
        <v>105</v>
      </c>
      <c r="B89" s="8"/>
      <c r="C89" s="8"/>
      <c r="D89" s="8"/>
      <c r="E89" s="8"/>
      <c r="F89" s="13"/>
      <c r="G89" s="8">
        <v>120</v>
      </c>
      <c r="H89" s="13"/>
      <c r="I89" s="13"/>
      <c r="J89" s="13">
        <v>54</v>
      </c>
      <c r="K89" s="13"/>
      <c r="L89" s="8"/>
      <c r="M89" s="13"/>
      <c r="N89" s="113">
        <f t="shared" si="33"/>
        <v>174</v>
      </c>
      <c r="O89" s="14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0" t="s">
        <v>106</v>
      </c>
      <c r="B90" s="8"/>
      <c r="C90" s="8"/>
      <c r="D90" s="20">
        <v>1374.46</v>
      </c>
      <c r="E90" s="8"/>
      <c r="F90" s="8"/>
      <c r="G90" s="8"/>
      <c r="H90" s="8"/>
      <c r="I90" s="13">
        <v>226.99</v>
      </c>
      <c r="J90" s="8"/>
      <c r="K90" s="13"/>
      <c r="L90" s="13"/>
      <c r="M90" s="13"/>
      <c r="N90" s="113">
        <f t="shared" si="33"/>
        <v>1601.45</v>
      </c>
      <c r="O90" s="14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0" t="s">
        <v>107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13">
        <f t="shared" si="33"/>
        <v>0</v>
      </c>
      <c r="O91" s="14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0" t="s">
        <v>108</v>
      </c>
      <c r="B92" s="8">
        <v>935</v>
      </c>
      <c r="C92" s="8">
        <v>935</v>
      </c>
      <c r="D92" s="8">
        <v>935</v>
      </c>
      <c r="E92" s="8">
        <v>935</v>
      </c>
      <c r="F92" s="8">
        <v>935</v>
      </c>
      <c r="G92" s="8">
        <v>935</v>
      </c>
      <c r="H92" s="8">
        <v>935</v>
      </c>
      <c r="I92" s="8">
        <v>935</v>
      </c>
      <c r="J92" s="8">
        <v>946.9</v>
      </c>
      <c r="K92" s="8">
        <v>935</v>
      </c>
      <c r="L92" s="8">
        <v>935</v>
      </c>
      <c r="M92" s="8">
        <v>935</v>
      </c>
      <c r="N92" s="113">
        <f t="shared" si="33"/>
        <v>11231.9</v>
      </c>
      <c r="O92" s="14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0" t="s">
        <v>109</v>
      </c>
      <c r="B93" s="13">
        <v>134.32</v>
      </c>
      <c r="C93" s="8">
        <v>47.81</v>
      </c>
      <c r="D93" s="13">
        <v>116.59</v>
      </c>
      <c r="E93" s="13">
        <v>66.67</v>
      </c>
      <c r="F93" s="8">
        <v>60.27</v>
      </c>
      <c r="G93" s="8">
        <v>71.03</v>
      </c>
      <c r="H93" s="8">
        <v>68.11</v>
      </c>
      <c r="I93" s="8">
        <v>95.96</v>
      </c>
      <c r="J93" s="13">
        <v>364.51</v>
      </c>
      <c r="K93" s="8">
        <v>10.66</v>
      </c>
      <c r="L93" s="8">
        <v>75.95</v>
      </c>
      <c r="M93" s="8">
        <v>74.930000000000007</v>
      </c>
      <c r="N93" s="128">
        <f t="shared" si="33"/>
        <v>1186.8100000000002</v>
      </c>
      <c r="O93" s="14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0" t="s">
        <v>110</v>
      </c>
      <c r="B94" s="13"/>
      <c r="C94" s="13"/>
      <c r="D94" s="13"/>
      <c r="E94" s="13"/>
      <c r="F94" s="13">
        <v>66.22</v>
      </c>
      <c r="G94" s="13"/>
      <c r="H94" s="13"/>
      <c r="I94" s="13"/>
      <c r="J94" s="13"/>
      <c r="K94" s="13"/>
      <c r="L94" s="13"/>
      <c r="M94" s="13"/>
      <c r="N94" s="128">
        <f t="shared" si="33"/>
        <v>66.22</v>
      </c>
      <c r="O94" s="14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0" t="s">
        <v>111</v>
      </c>
      <c r="B95" s="13"/>
      <c r="C95" s="8"/>
      <c r="D95" s="13"/>
      <c r="E95" s="13">
        <v>48.45</v>
      </c>
      <c r="F95" s="8"/>
      <c r="G95" s="8"/>
      <c r="H95" s="8">
        <v>110.55</v>
      </c>
      <c r="I95" s="8"/>
      <c r="J95" s="13"/>
      <c r="K95" s="8">
        <v>109.88</v>
      </c>
      <c r="L95" s="8"/>
      <c r="M95" s="8"/>
      <c r="N95" s="128">
        <f t="shared" si="33"/>
        <v>268.88</v>
      </c>
      <c r="O95" s="14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0" t="s">
        <v>112</v>
      </c>
      <c r="B96" s="12">
        <v>134.32</v>
      </c>
      <c r="C96" s="12">
        <v>47.81</v>
      </c>
      <c r="D96" s="12">
        <v>116.59</v>
      </c>
      <c r="E96" s="12">
        <v>115.12</v>
      </c>
      <c r="F96" s="12">
        <v>126.49</v>
      </c>
      <c r="G96" s="12">
        <v>71.03</v>
      </c>
      <c r="H96" s="12">
        <v>178.66</v>
      </c>
      <c r="I96" s="12">
        <v>95.96</v>
      </c>
      <c r="J96" s="12">
        <v>364.51</v>
      </c>
      <c r="K96" s="12">
        <v>120.54</v>
      </c>
      <c r="L96" s="12">
        <v>75.95</v>
      </c>
      <c r="M96" s="12">
        <v>74.930000000000007</v>
      </c>
      <c r="N96" s="113">
        <f t="shared" si="33"/>
        <v>1521.91</v>
      </c>
      <c r="O96" s="14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1.5" x14ac:dyDescent="0.25">
      <c r="A97" s="34" t="s">
        <v>113</v>
      </c>
      <c r="B97" s="13"/>
      <c r="C97" s="13"/>
      <c r="D97" s="13"/>
      <c r="E97" s="13">
        <v>30</v>
      </c>
      <c r="F97" s="13"/>
      <c r="G97" s="13"/>
      <c r="H97" s="13"/>
      <c r="I97" s="13"/>
      <c r="J97" s="13"/>
      <c r="K97" s="13"/>
      <c r="L97" s="13">
        <v>31.97</v>
      </c>
      <c r="M97" s="13"/>
      <c r="N97" s="113">
        <f t="shared" si="33"/>
        <v>61.97</v>
      </c>
      <c r="O97" s="14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0" t="s">
        <v>114</v>
      </c>
      <c r="B98" s="8"/>
      <c r="C98" s="13">
        <v>323.98</v>
      </c>
      <c r="D98" s="8"/>
      <c r="E98" s="8"/>
      <c r="F98" s="13"/>
      <c r="G98" s="13"/>
      <c r="H98" s="13">
        <v>369.19</v>
      </c>
      <c r="I98" s="13"/>
      <c r="J98" s="13"/>
      <c r="K98" s="14"/>
      <c r="L98" s="13"/>
      <c r="M98" s="13">
        <v>975.53</v>
      </c>
      <c r="N98" s="128">
        <f t="shared" si="33"/>
        <v>1668.7</v>
      </c>
      <c r="O98" s="14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0" t="s">
        <v>115</v>
      </c>
      <c r="B99" s="8"/>
      <c r="C99" s="13"/>
      <c r="D99" s="8"/>
      <c r="E99" s="8"/>
      <c r="F99" s="13"/>
      <c r="G99" s="13"/>
      <c r="H99" s="13"/>
      <c r="I99" s="13"/>
      <c r="J99" s="13"/>
      <c r="K99" s="14"/>
      <c r="L99" s="13"/>
      <c r="M99" s="13">
        <v>581.70000000000005</v>
      </c>
      <c r="N99" s="128">
        <f t="shared" si="33"/>
        <v>581.70000000000005</v>
      </c>
      <c r="O99" s="14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0" t="s">
        <v>116</v>
      </c>
      <c r="B100" s="12">
        <v>0</v>
      </c>
      <c r="C100" s="12">
        <v>323.98</v>
      </c>
      <c r="D100" s="12">
        <v>0</v>
      </c>
      <c r="E100" s="12">
        <v>0</v>
      </c>
      <c r="F100" s="12">
        <v>0</v>
      </c>
      <c r="G100" s="12">
        <v>0</v>
      </c>
      <c r="H100" s="12">
        <v>369.19</v>
      </c>
      <c r="I100" s="12">
        <v>0</v>
      </c>
      <c r="J100" s="12">
        <v>0</v>
      </c>
      <c r="K100" s="12">
        <v>0</v>
      </c>
      <c r="L100" s="12">
        <v>0</v>
      </c>
      <c r="M100" s="12">
        <v>1557.23</v>
      </c>
      <c r="N100" s="113">
        <f t="shared" si="33"/>
        <v>2250.4</v>
      </c>
      <c r="O100" s="14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0" t="s">
        <v>117</v>
      </c>
      <c r="B101" s="13">
        <v>12.57</v>
      </c>
      <c r="C101" s="13">
        <v>15.01</v>
      </c>
      <c r="D101" s="13">
        <v>19.2</v>
      </c>
      <c r="E101" s="13">
        <v>22.22</v>
      </c>
      <c r="F101" s="13"/>
      <c r="G101" s="13">
        <v>17.87</v>
      </c>
      <c r="H101" s="13">
        <v>27.7</v>
      </c>
      <c r="I101" s="13">
        <v>31.98</v>
      </c>
      <c r="J101" s="13">
        <v>25.58</v>
      </c>
      <c r="K101" s="13">
        <v>36.880000000000003</v>
      </c>
      <c r="L101" s="13">
        <v>25.39</v>
      </c>
      <c r="M101" s="13">
        <v>24.97</v>
      </c>
      <c r="N101" s="119">
        <f>SUM(B101:M101)</f>
        <v>259.37</v>
      </c>
      <c r="O101" s="14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0" t="s">
        <v>118</v>
      </c>
      <c r="B102" s="8"/>
      <c r="C102" s="8"/>
      <c r="D102" s="8"/>
      <c r="E102" s="8"/>
      <c r="F102" s="13"/>
      <c r="G102" s="13"/>
      <c r="H102" s="13"/>
      <c r="I102" s="13"/>
      <c r="J102" s="8"/>
      <c r="K102" s="13"/>
      <c r="L102" s="8"/>
      <c r="M102" s="13"/>
      <c r="N102" s="11">
        <f t="shared" ref="N102:N108" si="35">SUM(B102:M102)</f>
        <v>0</v>
      </c>
      <c r="O102" s="14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0" t="s">
        <v>119</v>
      </c>
      <c r="B103" s="8"/>
      <c r="C103" s="13"/>
      <c r="D103" s="13"/>
      <c r="E103" s="13">
        <v>690.05</v>
      </c>
      <c r="F103" s="8"/>
      <c r="G103" s="13"/>
      <c r="H103" s="13"/>
      <c r="I103" s="13">
        <v>36.869999999999997</v>
      </c>
      <c r="J103" s="13"/>
      <c r="K103" s="13"/>
      <c r="L103" s="13"/>
      <c r="M103" s="13"/>
      <c r="N103" s="11">
        <f t="shared" si="35"/>
        <v>726.92</v>
      </c>
      <c r="O103" s="14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0" t="s">
        <v>120</v>
      </c>
      <c r="B104" s="8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>
        <f t="shared" si="35"/>
        <v>0</v>
      </c>
      <c r="O104" s="14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0" t="s">
        <v>121</v>
      </c>
      <c r="B105" s="8">
        <v>89.6</v>
      </c>
      <c r="C105" s="8">
        <v>89.6</v>
      </c>
      <c r="D105" s="8">
        <v>89.6</v>
      </c>
      <c r="E105" s="8">
        <v>89.6</v>
      </c>
      <c r="F105" s="8">
        <v>89.6</v>
      </c>
      <c r="G105" s="8">
        <v>89.6</v>
      </c>
      <c r="H105" s="8">
        <v>89.6</v>
      </c>
      <c r="I105" s="8">
        <v>89.6</v>
      </c>
      <c r="J105" s="8">
        <v>89.6</v>
      </c>
      <c r="K105" s="8">
        <v>109.52</v>
      </c>
      <c r="L105" s="8">
        <v>89.6</v>
      </c>
      <c r="M105" s="8">
        <v>89.6</v>
      </c>
      <c r="N105" s="13">
        <f t="shared" si="35"/>
        <v>1095.1200000000001</v>
      </c>
      <c r="O105" s="14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0" t="s">
        <v>122</v>
      </c>
      <c r="B106" s="8">
        <v>133.56</v>
      </c>
      <c r="C106" s="13">
        <v>136.46</v>
      </c>
      <c r="D106" s="13">
        <v>138.44</v>
      </c>
      <c r="E106" s="13">
        <v>115.13</v>
      </c>
      <c r="F106" s="13">
        <v>147.55000000000001</v>
      </c>
      <c r="G106" s="13">
        <v>163.69999999999999</v>
      </c>
      <c r="H106" s="13">
        <v>146.24</v>
      </c>
      <c r="I106" s="13">
        <v>193.22</v>
      </c>
      <c r="J106" s="13">
        <v>159.01</v>
      </c>
      <c r="K106" s="13">
        <v>175.97</v>
      </c>
      <c r="L106" s="13">
        <v>182.3</v>
      </c>
      <c r="M106" s="13">
        <v>151.06</v>
      </c>
      <c r="N106" s="13">
        <f t="shared" si="35"/>
        <v>1842.6399999999999</v>
      </c>
      <c r="O106" s="14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0" t="s">
        <v>123</v>
      </c>
      <c r="B107" s="8">
        <v>153.52000000000001</v>
      </c>
      <c r="C107" s="8">
        <v>159.55000000000001</v>
      </c>
      <c r="D107" s="8">
        <v>153.52000000000001</v>
      </c>
      <c r="E107" s="8">
        <v>193.12</v>
      </c>
      <c r="F107" s="8">
        <v>163.12</v>
      </c>
      <c r="G107" s="8">
        <v>153.52000000000001</v>
      </c>
      <c r="H107" s="8">
        <v>168.14</v>
      </c>
      <c r="I107" s="8">
        <v>153.52000000000001</v>
      </c>
      <c r="J107" s="8">
        <v>153.52000000000001</v>
      </c>
      <c r="K107" s="8">
        <v>203.7</v>
      </c>
      <c r="L107" s="8">
        <v>153.52000000000001</v>
      </c>
      <c r="M107" s="8">
        <v>153.51</v>
      </c>
      <c r="N107" s="13">
        <f t="shared" si="35"/>
        <v>1962.26</v>
      </c>
      <c r="O107" s="14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0" t="s">
        <v>124</v>
      </c>
      <c r="B108" s="8">
        <v>44.8</v>
      </c>
      <c r="C108" s="8">
        <v>44.8</v>
      </c>
      <c r="D108" s="8">
        <v>94.25</v>
      </c>
      <c r="E108" s="8">
        <v>48.17</v>
      </c>
      <c r="F108" s="8">
        <v>44.8</v>
      </c>
      <c r="G108" s="8">
        <v>44.8</v>
      </c>
      <c r="H108" s="8">
        <v>44.8</v>
      </c>
      <c r="I108" s="8">
        <v>44.8</v>
      </c>
      <c r="J108" s="8">
        <v>44.8</v>
      </c>
      <c r="K108" s="8">
        <v>44.8</v>
      </c>
      <c r="L108" s="8">
        <v>44.8</v>
      </c>
      <c r="M108" s="8">
        <v>44.79</v>
      </c>
      <c r="N108" s="13">
        <f t="shared" si="35"/>
        <v>590.41</v>
      </c>
      <c r="O108" s="14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0" t="s">
        <v>125</v>
      </c>
      <c r="B109" s="12">
        <f>SUM(B105:B108)</f>
        <v>421.48</v>
      </c>
      <c r="C109" s="12">
        <f t="shared" ref="C109:N109" si="36">SUM(C105:C108)</f>
        <v>430.41</v>
      </c>
      <c r="D109" s="12">
        <f t="shared" si="36"/>
        <v>475.81</v>
      </c>
      <c r="E109" s="12">
        <f t="shared" si="36"/>
        <v>446.02000000000004</v>
      </c>
      <c r="F109" s="12">
        <f t="shared" si="36"/>
        <v>445.07</v>
      </c>
      <c r="G109" s="12">
        <f t="shared" si="36"/>
        <v>451.62</v>
      </c>
      <c r="H109" s="12">
        <f t="shared" si="36"/>
        <v>448.78000000000003</v>
      </c>
      <c r="I109" s="12">
        <f t="shared" si="36"/>
        <v>481.14000000000004</v>
      </c>
      <c r="J109" s="12">
        <f t="shared" si="36"/>
        <v>446.93</v>
      </c>
      <c r="K109" s="12">
        <f t="shared" si="36"/>
        <v>533.99</v>
      </c>
      <c r="L109" s="12">
        <f t="shared" si="36"/>
        <v>470.21999999999997</v>
      </c>
      <c r="M109" s="12">
        <f t="shared" si="36"/>
        <v>438.96</v>
      </c>
      <c r="N109" s="12">
        <f t="shared" si="36"/>
        <v>5490.43</v>
      </c>
      <c r="O109" s="14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34" t="s">
        <v>126</v>
      </c>
      <c r="B110" s="12">
        <f>B55+B56+B57+B58+B63+B64+B65+B66+B67+B68+B69+B70+B75+B76+B80+B88+B89+B90+B91+B92+B96+B97+B100+B101+B102+B103+B109</f>
        <v>6790.8125</v>
      </c>
      <c r="C110" s="12">
        <f t="shared" ref="C110:N110" si="37">C55+C56+C57+C58+C63+C64+C65+C66+C67+C68+C69+C70+C75+C76+C80+C88+C89+C90+C91+C92+C96+C97+C100+C101+C102+C103+C109</f>
        <v>7423.7925000000014</v>
      </c>
      <c r="D110" s="12">
        <f t="shared" si="37"/>
        <v>9656.7725000000009</v>
      </c>
      <c r="E110" s="12">
        <f t="shared" si="37"/>
        <v>8757.0025000000005</v>
      </c>
      <c r="F110" s="12">
        <f t="shared" si="37"/>
        <v>9574.9724999999999</v>
      </c>
      <c r="G110" s="12">
        <f t="shared" si="37"/>
        <v>7266.4824999999992</v>
      </c>
      <c r="H110" s="12">
        <f t="shared" si="37"/>
        <v>7541.4624999999987</v>
      </c>
      <c r="I110" s="12">
        <f t="shared" si="37"/>
        <v>8614.4049999999988</v>
      </c>
      <c r="J110" s="12">
        <f t="shared" si="37"/>
        <v>7876.7725</v>
      </c>
      <c r="K110" s="12">
        <f t="shared" si="37"/>
        <v>7464.8125</v>
      </c>
      <c r="L110" s="12">
        <f t="shared" si="37"/>
        <v>7214.7125000000015</v>
      </c>
      <c r="M110" s="12">
        <f t="shared" si="37"/>
        <v>11354.114999999998</v>
      </c>
      <c r="N110" s="12">
        <f t="shared" si="37"/>
        <v>99536.114999999991</v>
      </c>
      <c r="O110" s="14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0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4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0" t="s">
        <v>127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4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0" t="s">
        <v>128</v>
      </c>
      <c r="B113" s="13">
        <v>4.12</v>
      </c>
      <c r="C113" s="8">
        <v>4.2</v>
      </c>
      <c r="D113" s="13">
        <v>4.8899999999999997</v>
      </c>
      <c r="E113" s="13">
        <v>4.18</v>
      </c>
      <c r="F113" s="8">
        <v>1.87</v>
      </c>
      <c r="G113" s="8">
        <v>1.56</v>
      </c>
      <c r="H113" s="8">
        <v>1.41</v>
      </c>
      <c r="I113" s="8">
        <v>4.58</v>
      </c>
      <c r="J113" s="13">
        <v>3.44</v>
      </c>
      <c r="K113" s="8">
        <v>5.41</v>
      </c>
      <c r="L113" s="8">
        <v>8.57</v>
      </c>
      <c r="M113" s="8">
        <v>5.66</v>
      </c>
      <c r="N113" s="13">
        <v>49.89</v>
      </c>
      <c r="O113" s="14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0" t="s">
        <v>129</v>
      </c>
      <c r="B114" s="12">
        <v>4.12</v>
      </c>
      <c r="C114" s="12">
        <v>4.2</v>
      </c>
      <c r="D114" s="12">
        <v>4.8899999999999997</v>
      </c>
      <c r="E114" s="12">
        <v>4.18</v>
      </c>
      <c r="F114" s="12">
        <v>1.87</v>
      </c>
      <c r="G114" s="12">
        <v>1.56</v>
      </c>
      <c r="H114" s="12">
        <v>1.41</v>
      </c>
      <c r="I114" s="12">
        <v>4.58</v>
      </c>
      <c r="J114" s="12">
        <v>3.44</v>
      </c>
      <c r="K114" s="12">
        <v>5.41</v>
      </c>
      <c r="L114" s="12">
        <v>8.57</v>
      </c>
      <c r="M114" s="12">
        <v>5.66</v>
      </c>
      <c r="N114" s="12">
        <v>49.89</v>
      </c>
      <c r="O114" s="14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0" t="s">
        <v>130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4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0" t="s">
        <v>131</v>
      </c>
      <c r="B116" s="8"/>
      <c r="C116" s="8"/>
      <c r="D116" s="8"/>
      <c r="E116" s="13"/>
      <c r="F116" s="13"/>
      <c r="G116" s="8">
        <v>150</v>
      </c>
      <c r="H116" s="8"/>
      <c r="I116" s="8">
        <v>53.89</v>
      </c>
      <c r="J116" s="8">
        <v>48.14</v>
      </c>
      <c r="K116" s="8"/>
      <c r="L116" s="13"/>
      <c r="M116" s="8"/>
      <c r="N116" s="13">
        <v>252.03</v>
      </c>
      <c r="O116" s="14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0" t="s">
        <v>132</v>
      </c>
      <c r="B117" s="8"/>
      <c r="C117" s="8"/>
      <c r="D117" s="8"/>
      <c r="E117" s="8">
        <v>-0.02</v>
      </c>
      <c r="F117" s="8"/>
      <c r="G117" s="8"/>
      <c r="H117" s="8"/>
      <c r="I117" s="13"/>
      <c r="J117" s="8"/>
      <c r="K117" s="8"/>
      <c r="L117" s="8"/>
      <c r="M117" s="8"/>
      <c r="N117" s="13">
        <v>-0.02</v>
      </c>
      <c r="O117" s="14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0" t="s">
        <v>133</v>
      </c>
      <c r="B118" s="12">
        <v>0</v>
      </c>
      <c r="C118" s="12">
        <v>0</v>
      </c>
      <c r="D118" s="12">
        <v>0</v>
      </c>
      <c r="E118" s="12">
        <v>-0.02</v>
      </c>
      <c r="F118" s="12">
        <v>0</v>
      </c>
      <c r="G118" s="12">
        <v>150</v>
      </c>
      <c r="H118" s="12">
        <v>0</v>
      </c>
      <c r="I118" s="12">
        <v>53.89</v>
      </c>
      <c r="J118" s="12">
        <v>48.14</v>
      </c>
      <c r="K118" s="12">
        <v>0</v>
      </c>
      <c r="L118" s="12">
        <v>0</v>
      </c>
      <c r="M118" s="12">
        <v>0</v>
      </c>
      <c r="N118" s="12">
        <v>252.01</v>
      </c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7" t="s">
        <v>134</v>
      </c>
      <c r="B119" s="12">
        <f>B23-B44-B110+B114-B118</f>
        <v>-2582.0400252257705</v>
      </c>
      <c r="C119" s="12">
        <f>C23-C44-C110+C114-C118</f>
        <v>-3757.1122453738453</v>
      </c>
      <c r="D119" s="12">
        <f t="shared" ref="D119:N119" si="38">D23-D44-D110+D114-D118</f>
        <v>-4781.8310854427009</v>
      </c>
      <c r="E119" s="12">
        <f t="shared" si="38"/>
        <v>-3127.3596228425622</v>
      </c>
      <c r="F119" s="12">
        <f t="shared" si="38"/>
        <v>-1191.2091553511191</v>
      </c>
      <c r="G119" s="12">
        <f t="shared" si="38"/>
        <v>-1392.9497793354408</v>
      </c>
      <c r="H119" s="12">
        <f t="shared" si="38"/>
        <v>-2690.3389338932111</v>
      </c>
      <c r="I119" s="12">
        <f t="shared" si="38"/>
        <v>-2029.0288188556904</v>
      </c>
      <c r="J119" s="12">
        <f t="shared" si="38"/>
        <v>1339.2489410959859</v>
      </c>
      <c r="K119" s="12">
        <f t="shared" si="38"/>
        <v>3301.0272422284688</v>
      </c>
      <c r="L119" s="12">
        <f t="shared" si="38"/>
        <v>5869.9503394788553</v>
      </c>
      <c r="M119" s="12">
        <f t="shared" si="38"/>
        <v>-598.56685648298651</v>
      </c>
      <c r="N119" s="12">
        <f t="shared" si="38"/>
        <v>-11640.210000000026</v>
      </c>
      <c r="O119" s="14"/>
      <c r="P119" s="136">
        <f>SUM(B119:M119)</f>
        <v>-11640.210000000021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7" t="s">
        <v>135</v>
      </c>
      <c r="B120" s="114">
        <f>B119/B23</f>
        <v>-0.11331327013981686</v>
      </c>
      <c r="C120" s="114">
        <f t="shared" ref="C120:N120" si="39">C119/C23</f>
        <v>-0.13755659790166902</v>
      </c>
      <c r="D120" s="114">
        <f t="shared" si="39"/>
        <v>-0.19844735337918978</v>
      </c>
      <c r="E120" s="114">
        <f t="shared" si="39"/>
        <v>-0.12472102006802684</v>
      </c>
      <c r="F120" s="114">
        <f t="shared" si="39"/>
        <v>-3.8486948409440828E-2</v>
      </c>
      <c r="G120" s="114">
        <f t="shared" si="39"/>
        <v>-5.2267872535917762E-2</v>
      </c>
      <c r="H120" s="114">
        <f t="shared" si="39"/>
        <v>-0.10593996023984348</v>
      </c>
      <c r="I120" s="114">
        <f t="shared" si="39"/>
        <v>-6.4465861342722863E-2</v>
      </c>
      <c r="J120" s="114">
        <f t="shared" si="39"/>
        <v>4.0034512993881027E-2</v>
      </c>
      <c r="K120" s="114">
        <f t="shared" si="39"/>
        <v>9.2684166980294705E-2</v>
      </c>
      <c r="L120" s="114">
        <f t="shared" si="39"/>
        <v>0.15665704226009863</v>
      </c>
      <c r="M120" s="114">
        <f t="shared" si="39"/>
        <v>-1.8141594605440493E-2</v>
      </c>
      <c r="N120" s="114">
        <f t="shared" si="39"/>
        <v>-3.2949515205035355E-2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3.25" x14ac:dyDescent="0.35">
      <c r="A124" s="131" t="s">
        <v>243</v>
      </c>
      <c r="B124" s="132"/>
      <c r="C124" s="132"/>
      <c r="D124" s="13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0" t="s">
        <v>197</v>
      </c>
      <c r="B125" s="24"/>
      <c r="C125" s="24"/>
      <c r="D125" s="24"/>
      <c r="E125" s="24"/>
      <c r="F125" s="25"/>
      <c r="G125" s="25"/>
      <c r="H125" s="25"/>
      <c r="I125" s="25"/>
      <c r="J125" s="25"/>
      <c r="K125" s="25"/>
      <c r="L125" s="25"/>
      <c r="M125" s="25"/>
      <c r="N125" s="27">
        <v>0</v>
      </c>
    </row>
    <row r="126" spans="1:25" x14ac:dyDescent="0.25">
      <c r="A126" s="10" t="s">
        <v>198</v>
      </c>
      <c r="B126" s="25">
        <v>890.54</v>
      </c>
      <c r="C126" s="25">
        <v>798.65</v>
      </c>
      <c r="D126" s="25">
        <v>1025.44</v>
      </c>
      <c r="E126" s="25">
        <v>2067.4499999999998</v>
      </c>
      <c r="F126" s="25">
        <v>2345.67</v>
      </c>
      <c r="G126" s="25">
        <v>2256.87</v>
      </c>
      <c r="H126" s="25">
        <v>2178.67</v>
      </c>
      <c r="I126" s="25">
        <v>2737.12</v>
      </c>
      <c r="J126" s="25">
        <v>2643.89</v>
      </c>
      <c r="K126" s="25">
        <v>2436.71</v>
      </c>
      <c r="L126" s="25">
        <v>1876</v>
      </c>
      <c r="M126" s="25">
        <v>2156</v>
      </c>
      <c r="N126" s="27">
        <f>SUM(B126:M126)</f>
        <v>23413.01</v>
      </c>
    </row>
    <row r="127" spans="1:25" x14ac:dyDescent="0.25">
      <c r="A127" s="10" t="s">
        <v>199</v>
      </c>
      <c r="B127" s="24">
        <v>667.88</v>
      </c>
      <c r="C127" s="24">
        <v>598.66999999999996</v>
      </c>
      <c r="D127" s="24">
        <v>701.22</v>
      </c>
      <c r="E127" s="24">
        <v>1275.8800000000001</v>
      </c>
      <c r="F127" s="25">
        <v>1284.33</v>
      </c>
      <c r="G127" s="25">
        <v>1332.45</v>
      </c>
      <c r="H127" s="25">
        <v>1356.78</v>
      </c>
      <c r="I127" s="25">
        <v>1567.89</v>
      </c>
      <c r="J127" s="25">
        <v>1409.45</v>
      </c>
      <c r="K127" s="25">
        <v>1406.45</v>
      </c>
      <c r="L127" s="25">
        <v>1636.74</v>
      </c>
      <c r="M127" s="25">
        <v>1663.54</v>
      </c>
      <c r="N127" s="27">
        <f>SUM(B127:M127)</f>
        <v>14901.279999999999</v>
      </c>
    </row>
    <row r="128" spans="1:25" x14ac:dyDescent="0.25">
      <c r="A128" s="10" t="s">
        <v>200</v>
      </c>
      <c r="B128" s="24">
        <v>200.59</v>
      </c>
      <c r="C128" s="24">
        <v>195.95</v>
      </c>
      <c r="D128" s="24">
        <v>262.23</v>
      </c>
      <c r="E128" s="24">
        <v>265.64999999999998</v>
      </c>
      <c r="F128" s="25">
        <v>353.1</v>
      </c>
      <c r="G128" s="25">
        <v>290.10000000000002</v>
      </c>
      <c r="H128" s="25">
        <v>252.45</v>
      </c>
      <c r="I128" s="25">
        <v>323.87</v>
      </c>
      <c r="J128" s="25">
        <v>292.55</v>
      </c>
      <c r="K128" s="25">
        <v>413.82</v>
      </c>
      <c r="L128" s="25">
        <v>443.81</v>
      </c>
      <c r="M128" s="25">
        <v>386.79</v>
      </c>
      <c r="N128" s="27">
        <f>SUM(B128:M128)</f>
        <v>3680.9100000000003</v>
      </c>
    </row>
    <row r="129" spans="1:16" x14ac:dyDescent="0.25">
      <c r="A129" s="34" t="s">
        <v>201</v>
      </c>
      <c r="B129" s="28">
        <f>SUM(B126:B128)</f>
        <v>1759.01</v>
      </c>
      <c r="C129" s="28">
        <f t="shared" ref="C129:M129" si="40">SUM(C126:C128)</f>
        <v>1593.27</v>
      </c>
      <c r="D129" s="28">
        <f t="shared" si="40"/>
        <v>1988.89</v>
      </c>
      <c r="E129" s="28">
        <f t="shared" si="40"/>
        <v>3608.98</v>
      </c>
      <c r="F129" s="28">
        <f t="shared" si="40"/>
        <v>3983.1</v>
      </c>
      <c r="G129" s="28">
        <f t="shared" si="40"/>
        <v>3879.4199999999996</v>
      </c>
      <c r="H129" s="28">
        <f t="shared" si="40"/>
        <v>3787.8999999999996</v>
      </c>
      <c r="I129" s="28">
        <f t="shared" si="40"/>
        <v>4628.88</v>
      </c>
      <c r="J129" s="28">
        <f t="shared" si="40"/>
        <v>4345.8900000000003</v>
      </c>
      <c r="K129" s="28">
        <f t="shared" si="40"/>
        <v>4256.9799999999996</v>
      </c>
      <c r="L129" s="28">
        <f t="shared" si="40"/>
        <v>3956.5499999999997</v>
      </c>
      <c r="M129" s="28">
        <f t="shared" si="40"/>
        <v>4206.33</v>
      </c>
      <c r="N129" s="28">
        <f>SUM(N125:N128)</f>
        <v>41995.199999999997</v>
      </c>
    </row>
    <row r="130" spans="1:16" x14ac:dyDescent="0.25">
      <c r="A130" s="10" t="s">
        <v>202</v>
      </c>
      <c r="B130" s="25"/>
      <c r="C130" s="25"/>
      <c r="D130" s="24"/>
      <c r="E130" s="24"/>
      <c r="F130" s="24"/>
      <c r="G130" s="24"/>
      <c r="H130" s="25"/>
      <c r="I130" s="24"/>
      <c r="J130" s="24"/>
      <c r="K130" s="24"/>
      <c r="L130" s="24"/>
      <c r="M130" s="25"/>
      <c r="N130" s="27">
        <v>0</v>
      </c>
    </row>
    <row r="131" spans="1:16" ht="31.5" x14ac:dyDescent="0.25">
      <c r="A131" s="10" t="s">
        <v>203</v>
      </c>
      <c r="B131" s="24">
        <v>1886.77</v>
      </c>
      <c r="C131" s="24">
        <v>2064.12</v>
      </c>
      <c r="D131" s="24">
        <v>2241.48</v>
      </c>
      <c r="E131" s="24">
        <v>2457.5100000000002</v>
      </c>
      <c r="F131" s="24">
        <v>2696.19</v>
      </c>
      <c r="G131" s="24">
        <v>2818.83</v>
      </c>
      <c r="H131" s="24">
        <v>1886.77</v>
      </c>
      <c r="I131" s="24">
        <v>2564.12</v>
      </c>
      <c r="J131" s="24">
        <v>3357.51</v>
      </c>
      <c r="K131" s="24">
        <v>3905.61</v>
      </c>
      <c r="L131" s="24">
        <v>3805.61</v>
      </c>
      <c r="M131" s="24">
        <v>3350.97</v>
      </c>
      <c r="N131" s="27">
        <f>SUM(B131:M131)</f>
        <v>33035.490000000005</v>
      </c>
    </row>
    <row r="132" spans="1:16" x14ac:dyDescent="0.25">
      <c r="A132" s="95" t="s">
        <v>204</v>
      </c>
      <c r="B132" s="96">
        <v>488.04</v>
      </c>
      <c r="C132" s="96">
        <v>536.04</v>
      </c>
      <c r="D132" s="97">
        <v>324.02999999999997</v>
      </c>
      <c r="E132" s="97">
        <v>264.02</v>
      </c>
      <c r="F132" s="97">
        <v>216.02</v>
      </c>
      <c r="G132" s="97">
        <v>544.04999999999995</v>
      </c>
      <c r="H132" s="96">
        <v>592.04999999999995</v>
      </c>
      <c r="I132" s="97">
        <v>600.05999999999995</v>
      </c>
      <c r="J132" s="97">
        <v>560.07000000000005</v>
      </c>
      <c r="K132" s="97">
        <v>428.03</v>
      </c>
      <c r="L132" s="97">
        <v>372.02</v>
      </c>
      <c r="M132" s="96">
        <v>376.08</v>
      </c>
      <c r="N132" s="98">
        <f>SUM(B132:M132)</f>
        <v>5300.51</v>
      </c>
    </row>
    <row r="133" spans="1:16" x14ac:dyDescent="0.25">
      <c r="A133" s="81" t="s">
        <v>205</v>
      </c>
      <c r="B133" s="36">
        <f>B131+B132</f>
        <v>2374.81</v>
      </c>
      <c r="C133" s="36">
        <f t="shared" ref="C133:J133" si="41">C131+C132</f>
        <v>2600.16</v>
      </c>
      <c r="D133" s="36">
        <f t="shared" si="41"/>
        <v>2565.5100000000002</v>
      </c>
      <c r="E133" s="36">
        <f t="shared" si="41"/>
        <v>2721.53</v>
      </c>
      <c r="F133" s="36">
        <f t="shared" si="41"/>
        <v>2912.21</v>
      </c>
      <c r="G133" s="36">
        <f t="shared" si="41"/>
        <v>3362.88</v>
      </c>
      <c r="H133" s="36">
        <f t="shared" si="41"/>
        <v>2478.8199999999997</v>
      </c>
      <c r="I133" s="36">
        <f t="shared" si="41"/>
        <v>3164.18</v>
      </c>
      <c r="J133" s="36">
        <f t="shared" si="41"/>
        <v>3917.5800000000004</v>
      </c>
      <c r="K133" s="36">
        <f>K131+K132</f>
        <v>4333.6400000000003</v>
      </c>
      <c r="L133" s="36">
        <f t="shared" ref="L133:M133" si="42">L131+L132</f>
        <v>4177.63</v>
      </c>
      <c r="M133" s="36">
        <f t="shared" si="42"/>
        <v>3727.0499999999997</v>
      </c>
      <c r="N133" s="37">
        <f>SUM(N131:N132)</f>
        <v>38336.000000000007</v>
      </c>
    </row>
    <row r="134" spans="1:16" x14ac:dyDescent="0.25">
      <c r="A134" s="10" t="s">
        <v>206</v>
      </c>
      <c r="B134" s="25"/>
      <c r="C134" s="25"/>
      <c r="D134" s="24"/>
      <c r="E134" s="24"/>
      <c r="F134" s="24"/>
      <c r="G134" s="24"/>
      <c r="H134" s="25"/>
      <c r="I134" s="24"/>
      <c r="J134" s="24"/>
      <c r="K134" s="24"/>
      <c r="L134" s="24"/>
      <c r="M134" s="25"/>
      <c r="N134" s="27"/>
    </row>
    <row r="135" spans="1:16" x14ac:dyDescent="0.25">
      <c r="A135" s="10" t="s">
        <v>207</v>
      </c>
      <c r="B135" s="25">
        <v>376.78</v>
      </c>
      <c r="C135" s="25">
        <v>398.65</v>
      </c>
      <c r="D135" s="24">
        <v>404</v>
      </c>
      <c r="E135" s="24">
        <v>412</v>
      </c>
      <c r="F135" s="24">
        <v>445</v>
      </c>
      <c r="G135" s="24">
        <v>478</v>
      </c>
      <c r="H135" s="25">
        <v>456</v>
      </c>
      <c r="I135" s="24">
        <v>578.65</v>
      </c>
      <c r="J135" s="24">
        <v>607</v>
      </c>
      <c r="K135" s="24">
        <v>609</v>
      </c>
      <c r="L135" s="24">
        <v>657</v>
      </c>
      <c r="M135" s="25">
        <v>580</v>
      </c>
      <c r="N135" s="27">
        <f>SUM(B135:M135)</f>
        <v>6002.08</v>
      </c>
    </row>
    <row r="136" spans="1:16" x14ac:dyDescent="0.25">
      <c r="A136" s="90" t="s">
        <v>208</v>
      </c>
      <c r="B136" s="91">
        <v>2356</v>
      </c>
      <c r="C136" s="91">
        <v>2578</v>
      </c>
      <c r="D136" s="92">
        <v>2480</v>
      </c>
      <c r="E136" s="92">
        <v>2674</v>
      </c>
      <c r="F136" s="92">
        <v>2389</v>
      </c>
      <c r="G136" s="92">
        <v>2674</v>
      </c>
      <c r="H136" s="91">
        <v>2787</v>
      </c>
      <c r="I136" s="92">
        <v>2911</v>
      </c>
      <c r="J136" s="92">
        <v>2885</v>
      </c>
      <c r="K136" s="92">
        <v>2863</v>
      </c>
      <c r="L136" s="92">
        <v>2367</v>
      </c>
      <c r="M136" s="91">
        <v>2237</v>
      </c>
      <c r="N136" s="99">
        <f>SUM(B136:M136)</f>
        <v>31201</v>
      </c>
      <c r="O136" s="89"/>
      <c r="P136" s="89"/>
    </row>
    <row r="137" spans="1:16" x14ac:dyDescent="0.25">
      <c r="A137" s="34" t="s">
        <v>209</v>
      </c>
      <c r="B137" s="36">
        <f>SUM(B135:B136)</f>
        <v>2732.7799999999997</v>
      </c>
      <c r="C137" s="36">
        <f t="shared" ref="C137:N137" si="43">SUM(C135:C136)</f>
        <v>2976.65</v>
      </c>
      <c r="D137" s="36">
        <f t="shared" si="43"/>
        <v>2884</v>
      </c>
      <c r="E137" s="36">
        <f t="shared" si="43"/>
        <v>3086</v>
      </c>
      <c r="F137" s="36">
        <f t="shared" si="43"/>
        <v>2834</v>
      </c>
      <c r="G137" s="36">
        <f t="shared" si="43"/>
        <v>3152</v>
      </c>
      <c r="H137" s="36">
        <f t="shared" si="43"/>
        <v>3243</v>
      </c>
      <c r="I137" s="36">
        <f t="shared" si="43"/>
        <v>3489.65</v>
      </c>
      <c r="J137" s="36">
        <f t="shared" si="43"/>
        <v>3492</v>
      </c>
      <c r="K137" s="36">
        <f t="shared" si="43"/>
        <v>3472</v>
      </c>
      <c r="L137" s="36">
        <f t="shared" si="43"/>
        <v>3024</v>
      </c>
      <c r="M137" s="36">
        <f t="shared" si="43"/>
        <v>2817</v>
      </c>
      <c r="N137" s="36">
        <f t="shared" si="43"/>
        <v>37203.08</v>
      </c>
    </row>
    <row r="138" spans="1:16" x14ac:dyDescent="0.25">
      <c r="A138" s="10" t="s">
        <v>210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6" x14ac:dyDescent="0.25">
      <c r="A139" s="10" t="s">
        <v>211</v>
      </c>
      <c r="B139" s="25">
        <v>8245</v>
      </c>
      <c r="C139" s="25">
        <v>8301</v>
      </c>
      <c r="D139" s="25">
        <v>8456</v>
      </c>
      <c r="E139" s="25">
        <v>8540</v>
      </c>
      <c r="F139" s="25">
        <v>9156</v>
      </c>
      <c r="G139" s="25">
        <v>9245</v>
      </c>
      <c r="H139" s="25">
        <v>9867</v>
      </c>
      <c r="I139" s="24">
        <v>10164</v>
      </c>
      <c r="J139" s="25">
        <v>9423</v>
      </c>
      <c r="K139" s="24">
        <v>9785</v>
      </c>
      <c r="L139" s="24">
        <v>9657</v>
      </c>
      <c r="M139" s="24">
        <v>9785</v>
      </c>
      <c r="N139" s="27">
        <f>SUM(B139:M139)</f>
        <v>110624</v>
      </c>
    </row>
    <row r="140" spans="1:16" x14ac:dyDescent="0.25">
      <c r="A140" s="10" t="s">
        <v>212</v>
      </c>
      <c r="B140" s="25"/>
      <c r="C140" s="25"/>
      <c r="D140" s="25"/>
      <c r="E140" s="25"/>
      <c r="F140" s="25"/>
      <c r="G140" s="25"/>
      <c r="H140" s="25"/>
      <c r="I140" s="24">
        <v>1016.54</v>
      </c>
      <c r="J140" s="25">
        <v>839.75</v>
      </c>
      <c r="K140" s="24">
        <v>1237.53</v>
      </c>
      <c r="L140" s="24">
        <v>751.35</v>
      </c>
      <c r="M140" s="24">
        <v>574.58000000000004</v>
      </c>
      <c r="N140" s="27">
        <f t="shared" ref="N140:N141" si="44">SUM(B140:M140)</f>
        <v>4419.75</v>
      </c>
    </row>
    <row r="141" spans="1:16" x14ac:dyDescent="0.25">
      <c r="A141" s="10" t="s">
        <v>213</v>
      </c>
      <c r="B141" s="25"/>
      <c r="C141" s="25"/>
      <c r="D141" s="25"/>
      <c r="E141" s="25"/>
      <c r="F141" s="25"/>
      <c r="G141" s="25"/>
      <c r="H141" s="25"/>
      <c r="I141" s="24">
        <v>353.04</v>
      </c>
      <c r="J141" s="25">
        <v>408.79</v>
      </c>
      <c r="K141" s="24">
        <v>427.37</v>
      </c>
      <c r="L141" s="24">
        <v>408.79</v>
      </c>
      <c r="M141" s="24">
        <v>260.14</v>
      </c>
      <c r="N141" s="27">
        <f t="shared" si="44"/>
        <v>1858.13</v>
      </c>
    </row>
    <row r="142" spans="1:16" x14ac:dyDescent="0.25">
      <c r="A142" s="34" t="s">
        <v>214</v>
      </c>
      <c r="B142" s="28">
        <f>SUM(B139:B141)</f>
        <v>8245</v>
      </c>
      <c r="C142" s="28">
        <f t="shared" ref="C142:F142" si="45">SUM(C139:C141)</f>
        <v>8301</v>
      </c>
      <c r="D142" s="28">
        <f t="shared" si="45"/>
        <v>8456</v>
      </c>
      <c r="E142" s="28">
        <f t="shared" si="45"/>
        <v>8540</v>
      </c>
      <c r="F142" s="28">
        <f t="shared" si="45"/>
        <v>9156</v>
      </c>
      <c r="G142" s="28">
        <f>SUM(G139:G141)</f>
        <v>9245</v>
      </c>
      <c r="H142" s="28">
        <f t="shared" ref="H142:J142" si="46">SUM(H139:H141)</f>
        <v>9867</v>
      </c>
      <c r="I142" s="28">
        <f t="shared" si="46"/>
        <v>11533.580000000002</v>
      </c>
      <c r="J142" s="28">
        <f t="shared" si="46"/>
        <v>10671.54</v>
      </c>
      <c r="K142" s="28">
        <f>SUM(K139:K141)</f>
        <v>11449.900000000001</v>
      </c>
      <c r="L142" s="28">
        <f t="shared" ref="L142:N142" si="47">SUM(L139:L141)</f>
        <v>10817.140000000001</v>
      </c>
      <c r="M142" s="28">
        <f t="shared" si="47"/>
        <v>10619.72</v>
      </c>
      <c r="N142" s="28">
        <f t="shared" si="47"/>
        <v>116901.88</v>
      </c>
    </row>
    <row r="143" spans="1:16" x14ac:dyDescent="0.25">
      <c r="A143" s="93" t="s">
        <v>215</v>
      </c>
      <c r="B143" s="94">
        <v>1256</v>
      </c>
      <c r="C143" s="94">
        <v>1345</v>
      </c>
      <c r="D143" s="94">
        <v>1423</v>
      </c>
      <c r="E143" s="94">
        <v>1767</v>
      </c>
      <c r="F143" s="94">
        <v>1723</v>
      </c>
      <c r="G143" s="94">
        <v>1556</v>
      </c>
      <c r="H143" s="94">
        <v>1108</v>
      </c>
      <c r="I143" s="94">
        <v>1034</v>
      </c>
      <c r="J143" s="94">
        <v>887</v>
      </c>
      <c r="K143" s="94">
        <v>866</v>
      </c>
      <c r="L143" s="94">
        <v>823</v>
      </c>
      <c r="M143" s="94">
        <v>712</v>
      </c>
      <c r="N143" s="94">
        <f>SUM(B143:M143)</f>
        <v>14500</v>
      </c>
    </row>
    <row r="144" spans="1:16" x14ac:dyDescent="0.25">
      <c r="A144" s="10" t="s">
        <v>64</v>
      </c>
      <c r="B144" s="28">
        <f>B129+B133+B137+B142+B143</f>
        <v>16367.599999999999</v>
      </c>
      <c r="C144" s="28">
        <f t="shared" ref="C144:F144" si="48">C129+C133+C137+C142+C143</f>
        <v>16816.080000000002</v>
      </c>
      <c r="D144" s="28">
        <f t="shared" si="48"/>
        <v>17317.400000000001</v>
      </c>
      <c r="E144" s="28">
        <f t="shared" si="48"/>
        <v>19723.510000000002</v>
      </c>
      <c r="F144" s="28">
        <f t="shared" si="48"/>
        <v>20608.309999999998</v>
      </c>
      <c r="G144" s="28">
        <f>G129+G133+G137+G142+G143</f>
        <v>21195.3</v>
      </c>
      <c r="H144" s="28">
        <f t="shared" ref="H144:J144" si="49">H129+H133+H137+H142+H143</f>
        <v>20484.72</v>
      </c>
      <c r="I144" s="28">
        <f t="shared" si="49"/>
        <v>23850.29</v>
      </c>
      <c r="J144" s="28">
        <f t="shared" si="49"/>
        <v>23314.010000000002</v>
      </c>
      <c r="K144" s="28">
        <f>K129+K133+K137+K142+K143</f>
        <v>24378.52</v>
      </c>
      <c r="L144" s="28">
        <f t="shared" ref="L144:M144" si="50">L129+L133+L137+L142+L143</f>
        <v>22798.32</v>
      </c>
      <c r="M144" s="28">
        <f t="shared" si="50"/>
        <v>22082.1</v>
      </c>
      <c r="N144" s="28">
        <f>N129+N133+N137+N142+N143</f>
        <v>248936.16000000003</v>
      </c>
    </row>
    <row r="145" spans="1:14" x14ac:dyDescent="0.25">
      <c r="A145" s="34" t="s">
        <v>65</v>
      </c>
      <c r="B145" s="28">
        <f t="shared" ref="B145:N145" si="51">B23-B144</f>
        <v>6419.1400000000031</v>
      </c>
      <c r="C145" s="28">
        <f t="shared" si="51"/>
        <v>10497.129999999997</v>
      </c>
      <c r="D145" s="28">
        <f t="shared" si="51"/>
        <v>6778.82</v>
      </c>
      <c r="E145" s="28">
        <f t="shared" si="51"/>
        <v>5351.3299999999981</v>
      </c>
      <c r="F145" s="28">
        <f t="shared" si="51"/>
        <v>10342.680000000004</v>
      </c>
      <c r="G145" s="28">
        <f t="shared" si="51"/>
        <v>5454.91</v>
      </c>
      <c r="H145" s="28">
        <f t="shared" si="51"/>
        <v>4910.2200000000012</v>
      </c>
      <c r="I145" s="28">
        <f t="shared" si="51"/>
        <v>7624.18</v>
      </c>
      <c r="J145" s="28">
        <f t="shared" si="51"/>
        <v>10138.349999999999</v>
      </c>
      <c r="K145" s="28">
        <f t="shared" si="51"/>
        <v>11237.350000000002</v>
      </c>
      <c r="L145" s="28">
        <f t="shared" si="51"/>
        <v>14671.750000000007</v>
      </c>
      <c r="M145" s="28">
        <f t="shared" si="51"/>
        <v>10912.07</v>
      </c>
      <c r="N145" s="28">
        <f t="shared" si="51"/>
        <v>104337.92999999993</v>
      </c>
    </row>
    <row r="146" spans="1:14" x14ac:dyDescent="0.25">
      <c r="A146" s="34" t="s">
        <v>66</v>
      </c>
      <c r="B146" s="18">
        <f t="shared" ref="B146:N146" si="52">B145/B23</f>
        <v>0.28170506180348759</v>
      </c>
      <c r="C146" s="18">
        <f t="shared" si="52"/>
        <v>0.38432428850362144</v>
      </c>
      <c r="D146" s="18">
        <f t="shared" si="52"/>
        <v>0.28132296268875362</v>
      </c>
      <c r="E146" s="18">
        <f t="shared" si="52"/>
        <v>0.21341432288301732</v>
      </c>
      <c r="F146" s="18">
        <f t="shared" si="52"/>
        <v>0.3341631398543311</v>
      </c>
      <c r="G146" s="18">
        <f t="shared" si="52"/>
        <v>0.2046854415030876</v>
      </c>
      <c r="H146" s="18">
        <f t="shared" si="52"/>
        <v>0.19335426663736952</v>
      </c>
      <c r="I146" s="18">
        <f t="shared" si="52"/>
        <v>0.2422337850327583</v>
      </c>
      <c r="J146" s="18">
        <f t="shared" si="52"/>
        <v>0.3030683037011439</v>
      </c>
      <c r="K146" s="18">
        <f t="shared" si="52"/>
        <v>0.31551524643368256</v>
      </c>
      <c r="L146" s="18">
        <f t="shared" si="52"/>
        <v>0.39155918310267379</v>
      </c>
      <c r="M146" s="18">
        <f t="shared" si="52"/>
        <v>0.33072721635367702</v>
      </c>
      <c r="N146" s="18">
        <f t="shared" si="52"/>
        <v>0.29534554883433412</v>
      </c>
    </row>
    <row r="147" spans="1:14" x14ac:dyDescent="0.25">
      <c r="A147" s="1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</sheetData>
  <sheetProtection algorithmName="SHA-512" hashValue="aE820TQfI7nTpeSA68M6JO7r/4SLSOPwargQcU7W9AVODlh4cZFT70hkpgDe3EbsT5Uee5gnJUIuKezRMPMUXg==" saltValue="QqSqvkVGAmobTbj2WrYs0Q==" spinCount="100000" sheet="1" objects="1" scenarios="1"/>
  <mergeCells count="3">
    <mergeCell ref="A1:N1"/>
    <mergeCell ref="A2:N2"/>
    <mergeCell ref="A123:N1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5" ma:contentTypeDescription="Create a new document." ma:contentTypeScope="" ma:versionID="bf16ab54af93f66c034e5d83c98e89b1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86746352df0f24913dabf0c6ae391bbb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35ebcd-4537-48ad-bfb6-49619c10d153" xsi:nil="true"/>
    <lcf76f155ced4ddcb4097134ff3c332f xmlns="8ba1e6a2-84cd-4a33-9b85-fe41ea8765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FF5ED1-DE9D-4167-BD01-683B478A98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354B90-A530-432D-B0E2-65AE73A6DC04}"/>
</file>

<file path=customXml/itemProps3.xml><?xml version="1.0" encoding="utf-8"?>
<ds:datastoreItem xmlns:ds="http://schemas.openxmlformats.org/officeDocument/2006/customXml" ds:itemID="{0447B411-6F1C-46AF-AD31-E199045950B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e35ebcd-4537-48ad-bfb6-49619c10d153"/>
    <ds:schemaRef ds:uri="8ba1e6a2-84cd-4a33-9b85-fe41ea8765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TTM Service Co</vt:lpstr>
      <vt:lpstr>TTM Serv w GM</vt:lpstr>
      <vt:lpstr>TTM Product Co</vt:lpstr>
      <vt:lpstr>TTM Prod w GM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Fisher</dc:creator>
  <cp:keywords/>
  <dc:description/>
  <cp:lastModifiedBy>Kim Dudas</cp:lastModifiedBy>
  <cp:revision/>
  <dcterms:created xsi:type="dcterms:W3CDTF">2023-02-15T22:30:36Z</dcterms:created>
  <dcterms:modified xsi:type="dcterms:W3CDTF">2023-10-13T17:49:04Z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0x010100B6E49B1B6CD66F478903CE867A080686</vt:lpwstr>
  </property>
  <property fmtid="{D5CDD505-2E9C-101B-9397-08002B2CF9AE}" pid="3" name="MediaServiceImageTags">
    <vt:lpwstr/>
  </property>
</Properties>
</file>