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ootenaypeaks.sharepoint.com/sites/BBAProgram/Shared Documents/Education/Learning Pathways/Financial Fundamentals Learning Pathway/PDFs and Protected Spreadsheets - KAs and Website/"/>
    </mc:Choice>
  </mc:AlternateContent>
  <xr:revisionPtr revIDLastSave="4" documentId="13_ncr:1_{39BD043A-8E0E-7343-A5E1-D4ADB7110009}" xr6:coauthVersionLast="47" xr6:coauthVersionMax="47" xr10:uidLastSave="{593609A5-02A1-4CB2-BDED-3EECA1242A0C}"/>
  <bookViews>
    <workbookView xWindow="28680" yWindow="-120" windowWidth="29040" windowHeight="15720" activeTab="3" xr2:uid="{403FF024-F4FF-FD44-8D14-B672E2DFE4E9}"/>
  </bookViews>
  <sheets>
    <sheet name="TTM Serv " sheetId="9" r:id="rId1"/>
    <sheet name="ProForma Serv" sheetId="11" r:id="rId2"/>
    <sheet name="TTM Prod " sheetId="10" r:id="rId3"/>
    <sheet name="ProForma Prod" sheetId="12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6" i="11" l="1"/>
  <c r="V27" i="11"/>
  <c r="S27" i="11"/>
  <c r="N144" i="12"/>
  <c r="N142" i="12"/>
  <c r="N141" i="12"/>
  <c r="M140" i="12"/>
  <c r="M143" i="12" s="1"/>
  <c r="L140" i="12"/>
  <c r="L143" i="12" s="1"/>
  <c r="L145" i="12" s="1"/>
  <c r="K140" i="12"/>
  <c r="K143" i="12" s="1"/>
  <c r="K145" i="12" s="1"/>
  <c r="J140" i="12"/>
  <c r="J143" i="12" s="1"/>
  <c r="I140" i="12"/>
  <c r="I143" i="12" s="1"/>
  <c r="H140" i="12"/>
  <c r="H143" i="12" s="1"/>
  <c r="G140" i="12"/>
  <c r="G143" i="12" s="1"/>
  <c r="F140" i="12"/>
  <c r="F143" i="12" s="1"/>
  <c r="E140" i="12"/>
  <c r="E143" i="12" s="1"/>
  <c r="D140" i="12"/>
  <c r="D143" i="12" s="1"/>
  <c r="C140" i="12"/>
  <c r="C143" i="12" s="1"/>
  <c r="B140" i="12"/>
  <c r="N139" i="12"/>
  <c r="N137" i="12"/>
  <c r="M137" i="12"/>
  <c r="L137" i="12"/>
  <c r="K137" i="12"/>
  <c r="J137" i="12"/>
  <c r="I137" i="12"/>
  <c r="H137" i="12"/>
  <c r="G137" i="12"/>
  <c r="F137" i="12"/>
  <c r="E137" i="12"/>
  <c r="D137" i="12"/>
  <c r="C137" i="12"/>
  <c r="B137" i="12"/>
  <c r="N136" i="12"/>
  <c r="N135" i="12"/>
  <c r="M133" i="12"/>
  <c r="L133" i="12"/>
  <c r="K133" i="12"/>
  <c r="J133" i="12"/>
  <c r="I133" i="12"/>
  <c r="H133" i="12"/>
  <c r="G133" i="12"/>
  <c r="F133" i="12"/>
  <c r="E133" i="12"/>
  <c r="D133" i="12"/>
  <c r="C133" i="12"/>
  <c r="B133" i="12"/>
  <c r="N132" i="12"/>
  <c r="N131" i="12"/>
  <c r="N133" i="12" s="1"/>
  <c r="N129" i="12"/>
  <c r="M129" i="12"/>
  <c r="L129" i="12"/>
  <c r="K129" i="12"/>
  <c r="J129" i="12"/>
  <c r="I129" i="12"/>
  <c r="H129" i="12"/>
  <c r="G129" i="12"/>
  <c r="F129" i="12"/>
  <c r="E129" i="12"/>
  <c r="D129" i="12"/>
  <c r="C129" i="12"/>
  <c r="B129" i="12"/>
  <c r="N128" i="12"/>
  <c r="N127" i="12"/>
  <c r="N126" i="12"/>
  <c r="C58" i="11"/>
  <c r="D58" i="11"/>
  <c r="E58" i="11"/>
  <c r="F58" i="11"/>
  <c r="G58" i="11"/>
  <c r="H58" i="11"/>
  <c r="I58" i="11"/>
  <c r="J58" i="11"/>
  <c r="K58" i="11"/>
  <c r="L58" i="11"/>
  <c r="M58" i="11"/>
  <c r="B58" i="11"/>
  <c r="C57" i="11"/>
  <c r="D57" i="11"/>
  <c r="E57" i="11"/>
  <c r="F57" i="11"/>
  <c r="G57" i="11"/>
  <c r="H57" i="11"/>
  <c r="I57" i="11"/>
  <c r="J57" i="11"/>
  <c r="K57" i="11"/>
  <c r="L57" i="11"/>
  <c r="M57" i="11"/>
  <c r="B57" i="11"/>
  <c r="C56" i="11"/>
  <c r="D56" i="11"/>
  <c r="E56" i="11"/>
  <c r="F56" i="11"/>
  <c r="G56" i="11"/>
  <c r="H56" i="11"/>
  <c r="I56" i="11"/>
  <c r="J56" i="11"/>
  <c r="K56" i="11"/>
  <c r="L56" i="11"/>
  <c r="M56" i="11"/>
  <c r="B56" i="11"/>
  <c r="C17" i="11"/>
  <c r="D17" i="11"/>
  <c r="E17" i="11"/>
  <c r="F17" i="11"/>
  <c r="G17" i="11"/>
  <c r="H17" i="11"/>
  <c r="I17" i="11"/>
  <c r="J17" i="11"/>
  <c r="K17" i="11"/>
  <c r="L17" i="11"/>
  <c r="M17" i="11"/>
  <c r="C16" i="11"/>
  <c r="D16" i="11"/>
  <c r="E16" i="11"/>
  <c r="F16" i="11"/>
  <c r="G16" i="11"/>
  <c r="H16" i="11"/>
  <c r="I16" i="11"/>
  <c r="J16" i="11"/>
  <c r="K16" i="11"/>
  <c r="L16" i="11"/>
  <c r="M16" i="11"/>
  <c r="B17" i="11"/>
  <c r="B16" i="11"/>
  <c r="C140" i="10"/>
  <c r="D140" i="10"/>
  <c r="E140" i="10"/>
  <c r="F140" i="10"/>
  <c r="G140" i="10"/>
  <c r="H140" i="10"/>
  <c r="I140" i="10"/>
  <c r="J140" i="10"/>
  <c r="K140" i="10"/>
  <c r="L140" i="10"/>
  <c r="M140" i="10"/>
  <c r="B140" i="10"/>
  <c r="Q28" i="12"/>
  <c r="H111" i="12" s="1"/>
  <c r="C145" i="12" l="1"/>
  <c r="M145" i="12"/>
  <c r="J145" i="12"/>
  <c r="N140" i="10"/>
  <c r="S7" i="10" s="1"/>
  <c r="E145" i="12"/>
  <c r="N140" i="12"/>
  <c r="N143" i="12" s="1"/>
  <c r="I145" i="12"/>
  <c r="G145" i="12"/>
  <c r="F145" i="12"/>
  <c r="H145" i="12"/>
  <c r="N58" i="11"/>
  <c r="N56" i="11"/>
  <c r="N57" i="11"/>
  <c r="D145" i="12"/>
  <c r="B143" i="12"/>
  <c r="B145" i="12" s="1"/>
  <c r="G111" i="12"/>
  <c r="F111" i="12"/>
  <c r="E111" i="12"/>
  <c r="D111" i="12"/>
  <c r="B111" i="12"/>
  <c r="M111" i="12"/>
  <c r="C111" i="12"/>
  <c r="L111" i="12"/>
  <c r="K111" i="12"/>
  <c r="J111" i="12"/>
  <c r="I111" i="12"/>
  <c r="C18" i="12"/>
  <c r="D18" i="12"/>
  <c r="E18" i="12"/>
  <c r="E19" i="12" s="1"/>
  <c r="F18" i="12"/>
  <c r="G18" i="12"/>
  <c r="H18" i="12"/>
  <c r="I18" i="12"/>
  <c r="J18" i="12"/>
  <c r="K18" i="12"/>
  <c r="L18" i="12"/>
  <c r="M18" i="12"/>
  <c r="B18" i="12"/>
  <c r="C17" i="12"/>
  <c r="C19" i="12" s="1"/>
  <c r="D17" i="12"/>
  <c r="D19" i="12" s="1"/>
  <c r="E17" i="12"/>
  <c r="F17" i="12"/>
  <c r="F19" i="12" s="1"/>
  <c r="G17" i="12"/>
  <c r="G19" i="12" s="1"/>
  <c r="H17" i="12"/>
  <c r="H19" i="12" s="1"/>
  <c r="I17" i="12"/>
  <c r="J17" i="12"/>
  <c r="K17" i="12"/>
  <c r="L17" i="12"/>
  <c r="M17" i="12"/>
  <c r="M19" i="12" s="1"/>
  <c r="B17" i="12"/>
  <c r="B19" i="12" s="1"/>
  <c r="S5" i="12"/>
  <c r="T4" i="12" s="1"/>
  <c r="M109" i="12"/>
  <c r="L109" i="12"/>
  <c r="K109" i="12"/>
  <c r="J109" i="12"/>
  <c r="I109" i="12"/>
  <c r="H109" i="12"/>
  <c r="G109" i="12"/>
  <c r="F109" i="12"/>
  <c r="E109" i="12"/>
  <c r="D109" i="12"/>
  <c r="C109" i="12"/>
  <c r="B109" i="12"/>
  <c r="N108" i="12"/>
  <c r="N107" i="12"/>
  <c r="N106" i="12"/>
  <c r="N105" i="12"/>
  <c r="N109" i="12" s="1"/>
  <c r="N104" i="12"/>
  <c r="N103" i="12"/>
  <c r="N102" i="12"/>
  <c r="N101" i="12"/>
  <c r="N100" i="12"/>
  <c r="N99" i="12"/>
  <c r="N98" i="12"/>
  <c r="N97" i="12"/>
  <c r="N96" i="12"/>
  <c r="N95" i="12"/>
  <c r="N94" i="12"/>
  <c r="N93" i="12"/>
  <c r="N92" i="12"/>
  <c r="N91" i="12"/>
  <c r="N90" i="12"/>
  <c r="N89" i="12"/>
  <c r="N87" i="12"/>
  <c r="N86" i="12"/>
  <c r="N85" i="12"/>
  <c r="N84" i="12"/>
  <c r="M83" i="12"/>
  <c r="M88" i="12" s="1"/>
  <c r="L83" i="12"/>
  <c r="L88" i="12" s="1"/>
  <c r="K83" i="12"/>
  <c r="K88" i="12" s="1"/>
  <c r="J83" i="12"/>
  <c r="J88" i="12" s="1"/>
  <c r="I83" i="12"/>
  <c r="I88" i="12" s="1"/>
  <c r="H83" i="12"/>
  <c r="H88" i="12" s="1"/>
  <c r="G83" i="12"/>
  <c r="G88" i="12" s="1"/>
  <c r="F83" i="12"/>
  <c r="F88" i="12" s="1"/>
  <c r="E83" i="12"/>
  <c r="E88" i="12" s="1"/>
  <c r="D83" i="12"/>
  <c r="D88" i="12" s="1"/>
  <c r="C83" i="12"/>
  <c r="C88" i="12" s="1"/>
  <c r="B83" i="12"/>
  <c r="N82" i="12"/>
  <c r="M80" i="12"/>
  <c r="L80" i="12"/>
  <c r="K80" i="12"/>
  <c r="J80" i="12"/>
  <c r="I80" i="12"/>
  <c r="H80" i="12"/>
  <c r="G80" i="12"/>
  <c r="F80" i="12"/>
  <c r="E80" i="12"/>
  <c r="D80" i="12"/>
  <c r="C80" i="12"/>
  <c r="B80" i="12"/>
  <c r="N79" i="12"/>
  <c r="N78" i="12"/>
  <c r="N77" i="12"/>
  <c r="N76" i="12"/>
  <c r="M75" i="12"/>
  <c r="L75" i="12"/>
  <c r="K75" i="12"/>
  <c r="J75" i="12"/>
  <c r="I75" i="12"/>
  <c r="H75" i="12"/>
  <c r="G75" i="12"/>
  <c r="F75" i="12"/>
  <c r="E75" i="12"/>
  <c r="D75" i="12"/>
  <c r="C75" i="12"/>
  <c r="B75" i="12"/>
  <c r="N74" i="12"/>
  <c r="N73" i="12"/>
  <c r="N72" i="12"/>
  <c r="N71" i="12"/>
  <c r="N75" i="12" s="1"/>
  <c r="N70" i="12"/>
  <c r="N69" i="12"/>
  <c r="N68" i="12"/>
  <c r="N67" i="12"/>
  <c r="N66" i="12"/>
  <c r="N65" i="12"/>
  <c r="N64" i="12"/>
  <c r="N63" i="12"/>
  <c r="N62" i="12"/>
  <c r="N61" i="12"/>
  <c r="N60" i="12"/>
  <c r="N59" i="12"/>
  <c r="N58" i="12"/>
  <c r="N57" i="12"/>
  <c r="N56" i="12"/>
  <c r="M54" i="12"/>
  <c r="L54" i="12"/>
  <c r="K54" i="12"/>
  <c r="J54" i="12"/>
  <c r="I54" i="12"/>
  <c r="H54" i="12"/>
  <c r="G54" i="12"/>
  <c r="F54" i="12"/>
  <c r="E54" i="12"/>
  <c r="D54" i="12"/>
  <c r="C54" i="12"/>
  <c r="B54" i="12"/>
  <c r="N53" i="12"/>
  <c r="N52" i="12"/>
  <c r="N51" i="12"/>
  <c r="M50" i="12"/>
  <c r="L50" i="12"/>
  <c r="K50" i="12"/>
  <c r="K55" i="12" s="1"/>
  <c r="J50" i="12"/>
  <c r="J55" i="12" s="1"/>
  <c r="I50" i="12"/>
  <c r="H50" i="12"/>
  <c r="G50" i="12"/>
  <c r="F50" i="12"/>
  <c r="E50" i="12"/>
  <c r="D50" i="12"/>
  <c r="D55" i="12" s="1"/>
  <c r="C50" i="12"/>
  <c r="B50" i="12"/>
  <c r="N49" i="12"/>
  <c r="N22" i="12"/>
  <c r="M22" i="12"/>
  <c r="N21" i="12"/>
  <c r="N20" i="12"/>
  <c r="C13" i="11"/>
  <c r="D13" i="11"/>
  <c r="E13" i="11"/>
  <c r="F13" i="11"/>
  <c r="G13" i="11"/>
  <c r="H13" i="11"/>
  <c r="I13" i="11"/>
  <c r="J13" i="11"/>
  <c r="K13" i="11"/>
  <c r="L13" i="11"/>
  <c r="M13" i="11"/>
  <c r="B13" i="11"/>
  <c r="C12" i="11"/>
  <c r="D12" i="11"/>
  <c r="E12" i="11"/>
  <c r="F12" i="11"/>
  <c r="G12" i="11"/>
  <c r="H12" i="11"/>
  <c r="I12" i="11"/>
  <c r="J12" i="11"/>
  <c r="K12" i="11"/>
  <c r="L12" i="11"/>
  <c r="M12" i="11"/>
  <c r="B12" i="11"/>
  <c r="C42" i="11"/>
  <c r="D42" i="11"/>
  <c r="E42" i="11"/>
  <c r="F42" i="11"/>
  <c r="G42" i="11"/>
  <c r="H42" i="11"/>
  <c r="I42" i="11"/>
  <c r="J42" i="11"/>
  <c r="K42" i="11"/>
  <c r="L42" i="11"/>
  <c r="M42" i="11"/>
  <c r="B42" i="11"/>
  <c r="C41" i="11"/>
  <c r="D41" i="11"/>
  <c r="E41" i="11"/>
  <c r="F41" i="11"/>
  <c r="G41" i="11"/>
  <c r="H41" i="11"/>
  <c r="I41" i="11"/>
  <c r="J41" i="11"/>
  <c r="K41" i="11"/>
  <c r="L41" i="11"/>
  <c r="M41" i="11"/>
  <c r="B41" i="11"/>
  <c r="C40" i="11"/>
  <c r="D40" i="11"/>
  <c r="E40" i="11"/>
  <c r="F40" i="11"/>
  <c r="G40" i="11"/>
  <c r="H40" i="11"/>
  <c r="I40" i="11"/>
  <c r="J40" i="11"/>
  <c r="K40" i="11"/>
  <c r="L40" i="11"/>
  <c r="M40" i="11"/>
  <c r="B40" i="11"/>
  <c r="C28" i="11"/>
  <c r="D28" i="11"/>
  <c r="E28" i="11"/>
  <c r="F28" i="11"/>
  <c r="G28" i="11"/>
  <c r="H28" i="11"/>
  <c r="I28" i="11"/>
  <c r="J28" i="11"/>
  <c r="K28" i="11"/>
  <c r="L28" i="11"/>
  <c r="M28" i="11"/>
  <c r="B28" i="11"/>
  <c r="C27" i="11"/>
  <c r="D27" i="11"/>
  <c r="E27" i="11"/>
  <c r="F27" i="11"/>
  <c r="G27" i="11"/>
  <c r="H27" i="11"/>
  <c r="I27" i="11"/>
  <c r="J27" i="11"/>
  <c r="K27" i="11"/>
  <c r="L27" i="11"/>
  <c r="M27" i="11"/>
  <c r="B27" i="11"/>
  <c r="C26" i="11"/>
  <c r="D26" i="11"/>
  <c r="D29" i="11" s="1"/>
  <c r="E26" i="11"/>
  <c r="F26" i="11"/>
  <c r="G26" i="11"/>
  <c r="H26" i="11"/>
  <c r="I26" i="11"/>
  <c r="J26" i="11"/>
  <c r="K26" i="11"/>
  <c r="L26" i="11"/>
  <c r="M26" i="11"/>
  <c r="M29" i="11" s="1"/>
  <c r="B26" i="11"/>
  <c r="C9" i="11"/>
  <c r="D9" i="11"/>
  <c r="E9" i="11"/>
  <c r="F9" i="11"/>
  <c r="G9" i="11"/>
  <c r="H9" i="11"/>
  <c r="I9" i="11"/>
  <c r="J9" i="11"/>
  <c r="K9" i="11"/>
  <c r="L9" i="11"/>
  <c r="M9" i="11"/>
  <c r="B9" i="11"/>
  <c r="C7" i="11"/>
  <c r="D7" i="11"/>
  <c r="E7" i="11"/>
  <c r="F7" i="11"/>
  <c r="G7" i="11"/>
  <c r="H7" i="11"/>
  <c r="I7" i="11"/>
  <c r="J7" i="11"/>
  <c r="K7" i="11"/>
  <c r="L7" i="11"/>
  <c r="M7" i="11"/>
  <c r="B7" i="11"/>
  <c r="C50" i="11"/>
  <c r="D50" i="11"/>
  <c r="E50" i="11"/>
  <c r="F50" i="11"/>
  <c r="G50" i="11"/>
  <c r="H50" i="11"/>
  <c r="I50" i="11"/>
  <c r="J50" i="11"/>
  <c r="K50" i="11"/>
  <c r="L50" i="11"/>
  <c r="M50" i="11"/>
  <c r="B50" i="11"/>
  <c r="C49" i="11"/>
  <c r="D49" i="11"/>
  <c r="E49" i="11"/>
  <c r="F49" i="11"/>
  <c r="G49" i="11"/>
  <c r="H49" i="11"/>
  <c r="I49" i="11"/>
  <c r="J49" i="11"/>
  <c r="K49" i="11"/>
  <c r="L49" i="11"/>
  <c r="M49" i="11"/>
  <c r="B49" i="11"/>
  <c r="C48" i="11"/>
  <c r="D48" i="11"/>
  <c r="E48" i="11"/>
  <c r="F48" i="11"/>
  <c r="G48" i="11"/>
  <c r="H48" i="11"/>
  <c r="I48" i="11"/>
  <c r="J48" i="11"/>
  <c r="K48" i="11"/>
  <c r="L48" i="11"/>
  <c r="M48" i="11"/>
  <c r="B48" i="11"/>
  <c r="C35" i="11"/>
  <c r="D35" i="11"/>
  <c r="E35" i="11"/>
  <c r="F35" i="11"/>
  <c r="G35" i="11"/>
  <c r="H35" i="11"/>
  <c r="I35" i="11"/>
  <c r="J35" i="11"/>
  <c r="K35" i="11"/>
  <c r="L35" i="11"/>
  <c r="M35" i="11"/>
  <c r="B35" i="11"/>
  <c r="C34" i="11"/>
  <c r="D34" i="11"/>
  <c r="E34" i="11"/>
  <c r="F34" i="11"/>
  <c r="G34" i="11"/>
  <c r="G36" i="11" s="1"/>
  <c r="G37" i="11" s="1"/>
  <c r="G38" i="11" s="1"/>
  <c r="H34" i="11"/>
  <c r="I34" i="11"/>
  <c r="J34" i="11"/>
  <c r="K34" i="11"/>
  <c r="L34" i="11"/>
  <c r="M34" i="11"/>
  <c r="B34" i="11"/>
  <c r="C33" i="11"/>
  <c r="C36" i="11" s="1"/>
  <c r="D33" i="11"/>
  <c r="D36" i="11" s="1"/>
  <c r="D37" i="11" s="1"/>
  <c r="D38" i="11" s="1"/>
  <c r="E33" i="11"/>
  <c r="E36" i="11" s="1"/>
  <c r="E37" i="11" s="1"/>
  <c r="E38" i="11" s="1"/>
  <c r="F33" i="11"/>
  <c r="G33" i="11"/>
  <c r="H33" i="11"/>
  <c r="I33" i="11"/>
  <c r="J33" i="11"/>
  <c r="K33" i="11"/>
  <c r="L33" i="11"/>
  <c r="M33" i="11"/>
  <c r="M36" i="11" s="1"/>
  <c r="B33" i="11"/>
  <c r="C8" i="11"/>
  <c r="D8" i="11"/>
  <c r="E8" i="11"/>
  <c r="F8" i="11"/>
  <c r="G8" i="11"/>
  <c r="H8" i="11"/>
  <c r="I8" i="11"/>
  <c r="J8" i="11"/>
  <c r="K8" i="11"/>
  <c r="L8" i="11"/>
  <c r="M8" i="11"/>
  <c r="B8" i="11"/>
  <c r="N65" i="11"/>
  <c r="M65" i="11"/>
  <c r="L65" i="11"/>
  <c r="K65" i="11"/>
  <c r="J65" i="11"/>
  <c r="I65" i="11"/>
  <c r="H65" i="11"/>
  <c r="G65" i="11"/>
  <c r="F65" i="11"/>
  <c r="E65" i="11"/>
  <c r="D65" i="11"/>
  <c r="C65" i="11"/>
  <c r="B65" i="11"/>
  <c r="M59" i="11"/>
  <c r="L59" i="11"/>
  <c r="K59" i="11"/>
  <c r="J59" i="11"/>
  <c r="I59" i="11"/>
  <c r="H59" i="11"/>
  <c r="G59" i="11"/>
  <c r="F59" i="11"/>
  <c r="E59" i="11"/>
  <c r="D59" i="11"/>
  <c r="C59" i="11"/>
  <c r="B59" i="11"/>
  <c r="F36" i="11"/>
  <c r="F37" i="11" s="1"/>
  <c r="F38" i="11" s="1"/>
  <c r="N21" i="11"/>
  <c r="N20" i="11"/>
  <c r="M18" i="11"/>
  <c r="M60" i="11" s="1"/>
  <c r="M61" i="11" s="1"/>
  <c r="L18" i="11"/>
  <c r="K18" i="11"/>
  <c r="J18" i="11"/>
  <c r="I18" i="11"/>
  <c r="H18" i="11"/>
  <c r="G18" i="11"/>
  <c r="F18" i="11"/>
  <c r="E18" i="11"/>
  <c r="D18" i="11"/>
  <c r="C18" i="11"/>
  <c r="C60" i="11" s="1"/>
  <c r="C61" i="11" s="1"/>
  <c r="B18" i="11"/>
  <c r="N17" i="11"/>
  <c r="N16" i="11"/>
  <c r="C68" i="9"/>
  <c r="D68" i="9"/>
  <c r="E68" i="9"/>
  <c r="F68" i="9"/>
  <c r="G68" i="9"/>
  <c r="H68" i="9"/>
  <c r="I68" i="9"/>
  <c r="J68" i="9"/>
  <c r="K68" i="9"/>
  <c r="L68" i="9"/>
  <c r="M68" i="9"/>
  <c r="N68" i="9"/>
  <c r="B68" i="9"/>
  <c r="C67" i="9"/>
  <c r="D67" i="9"/>
  <c r="E67" i="9"/>
  <c r="F67" i="9"/>
  <c r="G67" i="9"/>
  <c r="H67" i="9"/>
  <c r="I67" i="9"/>
  <c r="J67" i="9"/>
  <c r="K67" i="9"/>
  <c r="L67" i="9"/>
  <c r="M67" i="9"/>
  <c r="N67" i="9"/>
  <c r="B67" i="9"/>
  <c r="C65" i="9"/>
  <c r="D65" i="9"/>
  <c r="E65" i="9"/>
  <c r="F65" i="9"/>
  <c r="G65" i="9"/>
  <c r="H65" i="9"/>
  <c r="I65" i="9"/>
  <c r="J65" i="9"/>
  <c r="K65" i="9"/>
  <c r="L65" i="9"/>
  <c r="M65" i="9"/>
  <c r="N65" i="9"/>
  <c r="B65" i="9"/>
  <c r="C60" i="9"/>
  <c r="D60" i="9"/>
  <c r="E60" i="9"/>
  <c r="F60" i="9"/>
  <c r="G60" i="9"/>
  <c r="H60" i="9"/>
  <c r="I60" i="9"/>
  <c r="J60" i="9"/>
  <c r="K60" i="9"/>
  <c r="L60" i="9"/>
  <c r="M60" i="9"/>
  <c r="N60" i="9"/>
  <c r="B60" i="9"/>
  <c r="C59" i="9"/>
  <c r="D59" i="9"/>
  <c r="E59" i="9"/>
  <c r="F59" i="9"/>
  <c r="G59" i="9"/>
  <c r="H59" i="9"/>
  <c r="I59" i="9"/>
  <c r="J59" i="9"/>
  <c r="K59" i="9"/>
  <c r="L59" i="9"/>
  <c r="M59" i="9"/>
  <c r="N59" i="9"/>
  <c r="B59" i="9"/>
  <c r="C52" i="9"/>
  <c r="D52" i="9"/>
  <c r="E52" i="9"/>
  <c r="F52" i="9"/>
  <c r="G52" i="9"/>
  <c r="H52" i="9"/>
  <c r="I52" i="9"/>
  <c r="J52" i="9"/>
  <c r="K52" i="9"/>
  <c r="L52" i="9"/>
  <c r="M52" i="9"/>
  <c r="N52" i="9"/>
  <c r="B52" i="9"/>
  <c r="C51" i="9"/>
  <c r="D51" i="9"/>
  <c r="E51" i="9"/>
  <c r="F51" i="9"/>
  <c r="G51" i="9"/>
  <c r="H51" i="9"/>
  <c r="I51" i="9"/>
  <c r="J51" i="9"/>
  <c r="K51" i="9"/>
  <c r="L51" i="9"/>
  <c r="M51" i="9"/>
  <c r="N51" i="9"/>
  <c r="B51" i="9"/>
  <c r="C44" i="9"/>
  <c r="D44" i="9"/>
  <c r="E44" i="9"/>
  <c r="F44" i="9"/>
  <c r="G44" i="9"/>
  <c r="H44" i="9"/>
  <c r="I44" i="9"/>
  <c r="J44" i="9"/>
  <c r="K44" i="9"/>
  <c r="L44" i="9"/>
  <c r="M44" i="9"/>
  <c r="N44" i="9"/>
  <c r="B44" i="9"/>
  <c r="C43" i="9"/>
  <c r="D43" i="9"/>
  <c r="E43" i="9"/>
  <c r="F43" i="9"/>
  <c r="G43" i="9"/>
  <c r="H43" i="9"/>
  <c r="I43" i="9"/>
  <c r="J43" i="9"/>
  <c r="K43" i="9"/>
  <c r="L43" i="9"/>
  <c r="M43" i="9"/>
  <c r="N43" i="9"/>
  <c r="B43" i="9"/>
  <c r="C37" i="9"/>
  <c r="D37" i="9"/>
  <c r="E37" i="9"/>
  <c r="F37" i="9"/>
  <c r="G37" i="9"/>
  <c r="H37" i="9"/>
  <c r="I37" i="9"/>
  <c r="J37" i="9"/>
  <c r="K37" i="9"/>
  <c r="L37" i="9"/>
  <c r="M37" i="9"/>
  <c r="N37" i="9"/>
  <c r="B37" i="9"/>
  <c r="C36" i="9"/>
  <c r="D36" i="9"/>
  <c r="E36" i="9"/>
  <c r="F36" i="9"/>
  <c r="G36" i="9"/>
  <c r="H36" i="9"/>
  <c r="I36" i="9"/>
  <c r="J36" i="9"/>
  <c r="K36" i="9"/>
  <c r="L36" i="9"/>
  <c r="M36" i="9"/>
  <c r="N36" i="9"/>
  <c r="B36" i="9"/>
  <c r="C30" i="9"/>
  <c r="D30" i="9"/>
  <c r="E30" i="9"/>
  <c r="F30" i="9"/>
  <c r="G30" i="9"/>
  <c r="H30" i="9"/>
  <c r="I30" i="9"/>
  <c r="J30" i="9"/>
  <c r="K30" i="9"/>
  <c r="L30" i="9"/>
  <c r="M30" i="9"/>
  <c r="N30" i="9"/>
  <c r="B30" i="9"/>
  <c r="C29" i="9"/>
  <c r="D29" i="9"/>
  <c r="E29" i="9"/>
  <c r="F29" i="9"/>
  <c r="G29" i="9"/>
  <c r="H29" i="9"/>
  <c r="I29" i="9"/>
  <c r="J29" i="9"/>
  <c r="K29" i="9"/>
  <c r="L29" i="9"/>
  <c r="M29" i="9"/>
  <c r="N29" i="9"/>
  <c r="B29" i="9"/>
  <c r="N20" i="9"/>
  <c r="N21" i="9"/>
  <c r="N22" i="9"/>
  <c r="C22" i="9"/>
  <c r="D22" i="9"/>
  <c r="E22" i="9"/>
  <c r="F22" i="9"/>
  <c r="G22" i="9"/>
  <c r="H22" i="9"/>
  <c r="I22" i="9"/>
  <c r="J22" i="9"/>
  <c r="K22" i="9"/>
  <c r="L22" i="9"/>
  <c r="M22" i="9"/>
  <c r="B22" i="9"/>
  <c r="N17" i="9"/>
  <c r="N16" i="9"/>
  <c r="N18" i="9" s="1"/>
  <c r="C18" i="9"/>
  <c r="D18" i="9"/>
  <c r="E18" i="9"/>
  <c r="F18" i="9"/>
  <c r="G18" i="9"/>
  <c r="H18" i="9"/>
  <c r="I18" i="9"/>
  <c r="J18" i="9"/>
  <c r="K18" i="9"/>
  <c r="L18" i="9"/>
  <c r="M18" i="9"/>
  <c r="B18" i="9"/>
  <c r="N13" i="9"/>
  <c r="N14" i="9"/>
  <c r="N12" i="9"/>
  <c r="C14" i="9"/>
  <c r="D14" i="9"/>
  <c r="E14" i="9"/>
  <c r="F14" i="9"/>
  <c r="G14" i="9"/>
  <c r="H14" i="9"/>
  <c r="I14" i="9"/>
  <c r="J14" i="9"/>
  <c r="K14" i="9"/>
  <c r="L14" i="9"/>
  <c r="M14" i="9"/>
  <c r="B14" i="9"/>
  <c r="N8" i="9"/>
  <c r="N9" i="9"/>
  <c r="N10" i="9"/>
  <c r="N7" i="9"/>
  <c r="C10" i="9"/>
  <c r="D10" i="9"/>
  <c r="E10" i="9"/>
  <c r="F10" i="9"/>
  <c r="G10" i="9"/>
  <c r="H10" i="9"/>
  <c r="I10" i="9"/>
  <c r="J10" i="9"/>
  <c r="K10" i="9"/>
  <c r="L10" i="9"/>
  <c r="M10" i="9"/>
  <c r="B10" i="9"/>
  <c r="C109" i="10"/>
  <c r="D109" i="10"/>
  <c r="E109" i="10"/>
  <c r="F109" i="10"/>
  <c r="G109" i="10"/>
  <c r="H109" i="10"/>
  <c r="I109" i="10"/>
  <c r="J109" i="10"/>
  <c r="K109" i="10"/>
  <c r="L109" i="10"/>
  <c r="M109" i="10"/>
  <c r="B109" i="10"/>
  <c r="N102" i="10"/>
  <c r="N103" i="10"/>
  <c r="N104" i="10"/>
  <c r="N105" i="10"/>
  <c r="N109" i="10" s="1"/>
  <c r="N106" i="10"/>
  <c r="N107" i="10"/>
  <c r="N108" i="10"/>
  <c r="N101" i="10"/>
  <c r="N99" i="10"/>
  <c r="N97" i="10"/>
  <c r="N98" i="10"/>
  <c r="N100" i="10"/>
  <c r="N89" i="10"/>
  <c r="N90" i="10"/>
  <c r="N91" i="10"/>
  <c r="N92" i="10"/>
  <c r="N93" i="10"/>
  <c r="N94" i="10"/>
  <c r="N95" i="10"/>
  <c r="N96" i="10"/>
  <c r="C80" i="10"/>
  <c r="D80" i="10"/>
  <c r="E80" i="10"/>
  <c r="F80" i="10"/>
  <c r="G80" i="10"/>
  <c r="H80" i="10"/>
  <c r="I80" i="10"/>
  <c r="J80" i="10"/>
  <c r="K80" i="10"/>
  <c r="L80" i="10"/>
  <c r="M80" i="10"/>
  <c r="B80" i="10"/>
  <c r="N77" i="10"/>
  <c r="N80" i="10" s="1"/>
  <c r="N78" i="10"/>
  <c r="N79" i="10"/>
  <c r="N76" i="10"/>
  <c r="C75" i="10"/>
  <c r="D75" i="10"/>
  <c r="E75" i="10"/>
  <c r="F75" i="10"/>
  <c r="G75" i="10"/>
  <c r="H75" i="10"/>
  <c r="I75" i="10"/>
  <c r="J75" i="10"/>
  <c r="K75" i="10"/>
  <c r="L75" i="10"/>
  <c r="M75" i="10"/>
  <c r="B75" i="10"/>
  <c r="N71" i="10"/>
  <c r="N75" i="10" s="1"/>
  <c r="N72" i="10"/>
  <c r="N73" i="10"/>
  <c r="N74" i="10"/>
  <c r="N65" i="10"/>
  <c r="N66" i="10"/>
  <c r="N67" i="10"/>
  <c r="N68" i="10"/>
  <c r="N69" i="10"/>
  <c r="N70" i="10"/>
  <c r="N64" i="10"/>
  <c r="N57" i="10"/>
  <c r="N58" i="10"/>
  <c r="N59" i="10"/>
  <c r="N60" i="10"/>
  <c r="N61" i="10"/>
  <c r="N62" i="10"/>
  <c r="N63" i="10"/>
  <c r="N56" i="10"/>
  <c r="N51" i="10"/>
  <c r="N52" i="10"/>
  <c r="N53" i="10"/>
  <c r="N49" i="10"/>
  <c r="C19" i="10"/>
  <c r="D19" i="10"/>
  <c r="E19" i="10"/>
  <c r="F19" i="10"/>
  <c r="G19" i="10"/>
  <c r="H19" i="10"/>
  <c r="I19" i="10"/>
  <c r="J19" i="10"/>
  <c r="K19" i="10"/>
  <c r="L19" i="10"/>
  <c r="M19" i="10"/>
  <c r="B19" i="10"/>
  <c r="N18" i="10"/>
  <c r="N19" i="10" s="1"/>
  <c r="N20" i="10"/>
  <c r="N21" i="10"/>
  <c r="N17" i="10"/>
  <c r="C15" i="10"/>
  <c r="D15" i="10"/>
  <c r="E15" i="10"/>
  <c r="F15" i="10"/>
  <c r="G15" i="10"/>
  <c r="H15" i="10"/>
  <c r="I15" i="10"/>
  <c r="J15" i="10"/>
  <c r="K15" i="10"/>
  <c r="L15" i="10"/>
  <c r="M15" i="10"/>
  <c r="B15" i="10"/>
  <c r="N14" i="10"/>
  <c r="N13" i="10"/>
  <c r="N15" i="10" s="1"/>
  <c r="C10" i="10"/>
  <c r="D10" i="10"/>
  <c r="E10" i="10"/>
  <c r="F10" i="10"/>
  <c r="G10" i="10"/>
  <c r="H10" i="10"/>
  <c r="I10" i="10"/>
  <c r="J10" i="10"/>
  <c r="K10" i="10"/>
  <c r="L10" i="10"/>
  <c r="M10" i="10"/>
  <c r="B10" i="10"/>
  <c r="N8" i="10"/>
  <c r="N9" i="10"/>
  <c r="N7" i="10"/>
  <c r="E55" i="12" l="1"/>
  <c r="G55" i="12"/>
  <c r="H55" i="12"/>
  <c r="H110" i="12" s="1"/>
  <c r="N59" i="11"/>
  <c r="N145" i="12"/>
  <c r="S8" i="12"/>
  <c r="H14" i="11"/>
  <c r="E14" i="11"/>
  <c r="B60" i="11"/>
  <c r="B61" i="11" s="1"/>
  <c r="L60" i="11"/>
  <c r="L61" i="11" s="1"/>
  <c r="C29" i="11"/>
  <c r="C30" i="11" s="1"/>
  <c r="C31" i="11" s="1"/>
  <c r="B14" i="11"/>
  <c r="B52" i="11" s="1"/>
  <c r="B53" i="11" s="1"/>
  <c r="M14" i="11"/>
  <c r="C14" i="11"/>
  <c r="B51" i="11"/>
  <c r="D51" i="11"/>
  <c r="M51" i="11"/>
  <c r="K60" i="11"/>
  <c r="K61" i="11" s="1"/>
  <c r="E10" i="11"/>
  <c r="G43" i="11"/>
  <c r="G44" i="11" s="1"/>
  <c r="G45" i="11" s="1"/>
  <c r="F29" i="11"/>
  <c r="F30" i="11" s="1"/>
  <c r="F31" i="11" s="1"/>
  <c r="B43" i="11"/>
  <c r="B44" i="11" s="1"/>
  <c r="B45" i="11" s="1"/>
  <c r="D43" i="11"/>
  <c r="D44" i="11" s="1"/>
  <c r="D45" i="11" s="1"/>
  <c r="E29" i="11"/>
  <c r="E30" i="11" s="1"/>
  <c r="E31" i="11" s="1"/>
  <c r="E60" i="11"/>
  <c r="E61" i="11" s="1"/>
  <c r="D60" i="11"/>
  <c r="D61" i="11" s="1"/>
  <c r="G60" i="11"/>
  <c r="G61" i="11" s="1"/>
  <c r="H60" i="11"/>
  <c r="H61" i="11" s="1"/>
  <c r="I60" i="11"/>
  <c r="I61" i="11" s="1"/>
  <c r="J60" i="11"/>
  <c r="J61" i="11" s="1"/>
  <c r="N18" i="11"/>
  <c r="N60" i="11" s="1"/>
  <c r="N61" i="11" s="1"/>
  <c r="F60" i="11"/>
  <c r="F61" i="11" s="1"/>
  <c r="B29" i="11"/>
  <c r="B30" i="11" s="1"/>
  <c r="B31" i="11" s="1"/>
  <c r="G29" i="11"/>
  <c r="G30" i="11" s="1"/>
  <c r="G31" i="11" s="1"/>
  <c r="I29" i="11"/>
  <c r="I30" i="11" s="1"/>
  <c r="I31" i="11" s="1"/>
  <c r="M43" i="11"/>
  <c r="M44" i="11" s="1"/>
  <c r="M45" i="11" s="1"/>
  <c r="C43" i="11"/>
  <c r="C44" i="11" s="1"/>
  <c r="C45" i="11" s="1"/>
  <c r="E43" i="11"/>
  <c r="E44" i="11" s="1"/>
  <c r="E45" i="11" s="1"/>
  <c r="H29" i="11"/>
  <c r="N111" i="12"/>
  <c r="G14" i="11"/>
  <c r="D14" i="11"/>
  <c r="D52" i="11" s="1"/>
  <c r="D53" i="11" s="1"/>
  <c r="F14" i="11"/>
  <c r="I19" i="12"/>
  <c r="N18" i="12"/>
  <c r="L19" i="12"/>
  <c r="J19" i="12"/>
  <c r="K19" i="12"/>
  <c r="N17" i="12"/>
  <c r="N19" i="12" s="1"/>
  <c r="J110" i="12"/>
  <c r="N83" i="12"/>
  <c r="N80" i="12"/>
  <c r="G110" i="12"/>
  <c r="M55" i="12"/>
  <c r="M110" i="12" s="1"/>
  <c r="I55" i="12"/>
  <c r="I110" i="12" s="1"/>
  <c r="F55" i="12"/>
  <c r="F110" i="12" s="1"/>
  <c r="D110" i="12"/>
  <c r="C55" i="12"/>
  <c r="C110" i="12" s="1"/>
  <c r="N50" i="12"/>
  <c r="L55" i="12"/>
  <c r="L110" i="12" s="1"/>
  <c r="S7" i="12"/>
  <c r="E110" i="12"/>
  <c r="K110" i="12"/>
  <c r="N54" i="12"/>
  <c r="B55" i="12"/>
  <c r="B88" i="12"/>
  <c r="N88" i="12" s="1"/>
  <c r="N42" i="11"/>
  <c r="B10" i="11"/>
  <c r="D10" i="11"/>
  <c r="N28" i="11"/>
  <c r="I43" i="11"/>
  <c r="I44" i="11" s="1"/>
  <c r="I45" i="11" s="1"/>
  <c r="N27" i="11"/>
  <c r="H43" i="11"/>
  <c r="H44" i="11" s="1"/>
  <c r="H45" i="11" s="1"/>
  <c r="N26" i="11"/>
  <c r="H51" i="11"/>
  <c r="E51" i="11"/>
  <c r="I14" i="11"/>
  <c r="N48" i="11"/>
  <c r="F43" i="11"/>
  <c r="F44" i="11" s="1"/>
  <c r="F45" i="11" s="1"/>
  <c r="J43" i="11"/>
  <c r="J44" i="11" s="1"/>
  <c r="J45" i="11" s="1"/>
  <c r="N41" i="11"/>
  <c r="L43" i="11"/>
  <c r="L44" i="11" s="1"/>
  <c r="L45" i="11" s="1"/>
  <c r="K43" i="11"/>
  <c r="K44" i="11" s="1"/>
  <c r="K45" i="11" s="1"/>
  <c r="N40" i="11"/>
  <c r="J29" i="11"/>
  <c r="J30" i="11" s="1"/>
  <c r="J31" i="11" s="1"/>
  <c r="L29" i="11"/>
  <c r="L30" i="11" s="1"/>
  <c r="L31" i="11" s="1"/>
  <c r="K29" i="11"/>
  <c r="K30" i="11" s="1"/>
  <c r="K31" i="11" s="1"/>
  <c r="H30" i="11"/>
  <c r="H31" i="11" s="1"/>
  <c r="M10" i="11"/>
  <c r="C10" i="11"/>
  <c r="M30" i="11"/>
  <c r="M31" i="11" s="1"/>
  <c r="D30" i="11"/>
  <c r="D31" i="11" s="1"/>
  <c r="C51" i="11"/>
  <c r="N49" i="11"/>
  <c r="N50" i="11"/>
  <c r="N13" i="11"/>
  <c r="G51" i="11"/>
  <c r="J51" i="11"/>
  <c r="N12" i="11"/>
  <c r="K51" i="11"/>
  <c r="L51" i="11"/>
  <c r="I51" i="11"/>
  <c r="F51" i="11"/>
  <c r="L14" i="11"/>
  <c r="K14" i="11"/>
  <c r="J14" i="11"/>
  <c r="G10" i="11"/>
  <c r="N9" i="11"/>
  <c r="I10" i="11"/>
  <c r="H10" i="11"/>
  <c r="N7" i="11"/>
  <c r="F10" i="11"/>
  <c r="N33" i="11"/>
  <c r="M37" i="11"/>
  <c r="M38" i="11" s="1"/>
  <c r="C37" i="11"/>
  <c r="C38" i="11" s="1"/>
  <c r="H36" i="11"/>
  <c r="N8" i="11"/>
  <c r="B36" i="11"/>
  <c r="B37" i="11" s="1"/>
  <c r="B38" i="11" s="1"/>
  <c r="N35" i="11"/>
  <c r="L36" i="11"/>
  <c r="L37" i="11" s="1"/>
  <c r="L38" i="11" s="1"/>
  <c r="K36" i="11"/>
  <c r="J36" i="11"/>
  <c r="J37" i="11" s="1"/>
  <c r="J38" i="11" s="1"/>
  <c r="I36" i="11"/>
  <c r="I37" i="11" s="1"/>
  <c r="I38" i="11" s="1"/>
  <c r="N34" i="11"/>
  <c r="H37" i="11"/>
  <c r="H38" i="11" s="1"/>
  <c r="J10" i="11"/>
  <c r="K10" i="11"/>
  <c r="L10" i="11"/>
  <c r="N10" i="10"/>
  <c r="N6" i="10" s="1"/>
  <c r="C50" i="10"/>
  <c r="D50" i="10"/>
  <c r="E50" i="10"/>
  <c r="F50" i="10"/>
  <c r="G50" i="10"/>
  <c r="H50" i="10"/>
  <c r="I50" i="10"/>
  <c r="J50" i="10"/>
  <c r="K50" i="10"/>
  <c r="L50" i="10"/>
  <c r="M50" i="10"/>
  <c r="B50" i="10"/>
  <c r="C54" i="10"/>
  <c r="C55" i="10" s="1"/>
  <c r="C110" i="10" s="1"/>
  <c r="D54" i="10"/>
  <c r="E54" i="10"/>
  <c r="F54" i="10"/>
  <c r="G54" i="10"/>
  <c r="H54" i="10"/>
  <c r="I54" i="10"/>
  <c r="J54" i="10"/>
  <c r="K54" i="10"/>
  <c r="L54" i="10"/>
  <c r="M54" i="10"/>
  <c r="M55" i="10" s="1"/>
  <c r="M110" i="10" s="1"/>
  <c r="B54" i="10"/>
  <c r="N54" i="10" s="1"/>
  <c r="N84" i="10"/>
  <c r="N85" i="10"/>
  <c r="N86" i="10"/>
  <c r="N87" i="10"/>
  <c r="N82" i="10"/>
  <c r="C83" i="10"/>
  <c r="C88" i="10" s="1"/>
  <c r="D83" i="10"/>
  <c r="D88" i="10" s="1"/>
  <c r="E83" i="10"/>
  <c r="E88" i="10" s="1"/>
  <c r="F83" i="10"/>
  <c r="F88" i="10" s="1"/>
  <c r="G83" i="10"/>
  <c r="G88" i="10" s="1"/>
  <c r="H83" i="10"/>
  <c r="H88" i="10" s="1"/>
  <c r="I83" i="10"/>
  <c r="I88" i="10" s="1"/>
  <c r="J83" i="10"/>
  <c r="J88" i="10" s="1"/>
  <c r="K83" i="10"/>
  <c r="K88" i="10" s="1"/>
  <c r="L83" i="10"/>
  <c r="L88" i="10" s="1"/>
  <c r="M83" i="10"/>
  <c r="M88" i="10" s="1"/>
  <c r="B83" i="10"/>
  <c r="C41" i="10"/>
  <c r="D41" i="10"/>
  <c r="E41" i="10"/>
  <c r="F41" i="10"/>
  <c r="G41" i="10"/>
  <c r="H41" i="10"/>
  <c r="I41" i="10"/>
  <c r="J41" i="10"/>
  <c r="K41" i="10"/>
  <c r="L41" i="10"/>
  <c r="M41" i="10"/>
  <c r="B41" i="10"/>
  <c r="C69" i="9"/>
  <c r="D69" i="9"/>
  <c r="E69" i="9"/>
  <c r="F69" i="9"/>
  <c r="G69" i="9"/>
  <c r="H69" i="9"/>
  <c r="I69" i="9"/>
  <c r="J69" i="9"/>
  <c r="K69" i="9"/>
  <c r="L69" i="9"/>
  <c r="M69" i="9"/>
  <c r="N69" i="9"/>
  <c r="B69" i="9"/>
  <c r="C61" i="9"/>
  <c r="D61" i="9"/>
  <c r="E61" i="9"/>
  <c r="F61" i="9"/>
  <c r="G61" i="9"/>
  <c r="H61" i="9"/>
  <c r="I61" i="9"/>
  <c r="J61" i="9"/>
  <c r="K61" i="9"/>
  <c r="L61" i="9"/>
  <c r="M61" i="9"/>
  <c r="N61" i="9"/>
  <c r="B61" i="9"/>
  <c r="C53" i="9"/>
  <c r="D53" i="9"/>
  <c r="E53" i="9"/>
  <c r="F53" i="9"/>
  <c r="G53" i="9"/>
  <c r="H53" i="9"/>
  <c r="I53" i="9"/>
  <c r="J53" i="9"/>
  <c r="K53" i="9"/>
  <c r="L53" i="9"/>
  <c r="M53" i="9"/>
  <c r="N53" i="9"/>
  <c r="B53" i="9"/>
  <c r="C45" i="9"/>
  <c r="D45" i="9"/>
  <c r="E45" i="9"/>
  <c r="F45" i="9"/>
  <c r="G45" i="9"/>
  <c r="H45" i="9"/>
  <c r="I45" i="9"/>
  <c r="J45" i="9"/>
  <c r="K45" i="9"/>
  <c r="L45" i="9"/>
  <c r="M45" i="9"/>
  <c r="N45" i="9"/>
  <c r="B45" i="9"/>
  <c r="C38" i="9"/>
  <c r="D38" i="9"/>
  <c r="E38" i="9"/>
  <c r="F38" i="9"/>
  <c r="G38" i="9"/>
  <c r="H38" i="9"/>
  <c r="I38" i="9"/>
  <c r="J38" i="9"/>
  <c r="K38" i="9"/>
  <c r="L38" i="9"/>
  <c r="M38" i="9"/>
  <c r="N38" i="9"/>
  <c r="B38" i="9"/>
  <c r="C31" i="9"/>
  <c r="D31" i="9"/>
  <c r="E31" i="9"/>
  <c r="F31" i="9"/>
  <c r="G31" i="9"/>
  <c r="H31" i="9"/>
  <c r="I31" i="9"/>
  <c r="J31" i="9"/>
  <c r="K31" i="9"/>
  <c r="L31" i="9"/>
  <c r="M31" i="9"/>
  <c r="N31" i="9"/>
  <c r="B31" i="9"/>
  <c r="T4" i="10"/>
  <c r="C12" i="10"/>
  <c r="C12" i="12" s="1"/>
  <c r="C14" i="12" s="1"/>
  <c r="D12" i="10"/>
  <c r="D12" i="12" s="1"/>
  <c r="E12" i="10"/>
  <c r="E12" i="12" s="1"/>
  <c r="E14" i="12" s="1"/>
  <c r="F12" i="10"/>
  <c r="F12" i="12" s="1"/>
  <c r="F13" i="12" s="1"/>
  <c r="G12" i="10"/>
  <c r="G12" i="12" s="1"/>
  <c r="G14" i="12" s="1"/>
  <c r="H12" i="10"/>
  <c r="H12" i="12" s="1"/>
  <c r="H13" i="12" s="1"/>
  <c r="I12" i="10"/>
  <c r="I12" i="12" s="1"/>
  <c r="I13" i="12" s="1"/>
  <c r="J12" i="10"/>
  <c r="J12" i="12" s="1"/>
  <c r="J14" i="12" s="1"/>
  <c r="K12" i="10"/>
  <c r="K12" i="12" s="1"/>
  <c r="K13" i="12" s="1"/>
  <c r="L12" i="10"/>
  <c r="L12" i="12" s="1"/>
  <c r="L14" i="12" s="1"/>
  <c r="M12" i="10"/>
  <c r="M12" i="12" s="1"/>
  <c r="N12" i="10"/>
  <c r="B12" i="10"/>
  <c r="B12" i="12" s="1"/>
  <c r="B13" i="12" s="1"/>
  <c r="C6" i="10"/>
  <c r="C6" i="12" s="1"/>
  <c r="C9" i="12" s="1"/>
  <c r="D6" i="10"/>
  <c r="D6" i="12" s="1"/>
  <c r="D9" i="12" s="1"/>
  <c r="E6" i="10"/>
  <c r="E6" i="12" s="1"/>
  <c r="F6" i="10"/>
  <c r="F6" i="12" s="1"/>
  <c r="F7" i="12" s="1"/>
  <c r="G6" i="10"/>
  <c r="G6" i="12" s="1"/>
  <c r="G7" i="12" s="1"/>
  <c r="H6" i="10"/>
  <c r="H6" i="12" s="1"/>
  <c r="H9" i="12" s="1"/>
  <c r="I6" i="10"/>
  <c r="I6" i="12" s="1"/>
  <c r="I9" i="12" s="1"/>
  <c r="J6" i="10"/>
  <c r="J6" i="12" s="1"/>
  <c r="J7" i="12" s="1"/>
  <c r="K6" i="10"/>
  <c r="K6" i="12" s="1"/>
  <c r="K8" i="12" s="1"/>
  <c r="L6" i="10"/>
  <c r="L6" i="12" s="1"/>
  <c r="L8" i="12" s="1"/>
  <c r="M6" i="10"/>
  <c r="M6" i="12" s="1"/>
  <c r="M7" i="12" s="1"/>
  <c r="B6" i="10"/>
  <c r="B6" i="12" s="1"/>
  <c r="N144" i="10"/>
  <c r="M143" i="10"/>
  <c r="L143" i="10"/>
  <c r="K143" i="10"/>
  <c r="J143" i="10"/>
  <c r="I143" i="10"/>
  <c r="H143" i="10"/>
  <c r="G143" i="10"/>
  <c r="F143" i="10"/>
  <c r="E143" i="10"/>
  <c r="D143" i="10"/>
  <c r="C143" i="10"/>
  <c r="B143" i="10"/>
  <c r="N142" i="10"/>
  <c r="N141" i="10"/>
  <c r="N139" i="10"/>
  <c r="M137" i="10"/>
  <c r="L137" i="10"/>
  <c r="K137" i="10"/>
  <c r="J137" i="10"/>
  <c r="I137" i="10"/>
  <c r="H137" i="10"/>
  <c r="G137" i="10"/>
  <c r="F137" i="10"/>
  <c r="E137" i="10"/>
  <c r="D137" i="10"/>
  <c r="C137" i="10"/>
  <c r="B137" i="10"/>
  <c r="N136" i="10"/>
  <c r="N135" i="10"/>
  <c r="M133" i="10"/>
  <c r="L133" i="10"/>
  <c r="K133" i="10"/>
  <c r="J133" i="10"/>
  <c r="I133" i="10"/>
  <c r="H133" i="10"/>
  <c r="G133" i="10"/>
  <c r="F133" i="10"/>
  <c r="E133" i="10"/>
  <c r="D133" i="10"/>
  <c r="C133" i="10"/>
  <c r="B133" i="10"/>
  <c r="N132" i="10"/>
  <c r="N131" i="10"/>
  <c r="M129" i="10"/>
  <c r="L129" i="10"/>
  <c r="K129" i="10"/>
  <c r="J129" i="10"/>
  <c r="I129" i="10"/>
  <c r="H129" i="10"/>
  <c r="G129" i="10"/>
  <c r="F129" i="10"/>
  <c r="E129" i="10"/>
  <c r="D129" i="10"/>
  <c r="C129" i="10"/>
  <c r="B129" i="10"/>
  <c r="N128" i="10"/>
  <c r="N127" i="10"/>
  <c r="N126" i="10"/>
  <c r="L23" i="10"/>
  <c r="K23" i="10"/>
  <c r="J23" i="10"/>
  <c r="I23" i="10"/>
  <c r="H23" i="10"/>
  <c r="G23" i="10"/>
  <c r="F23" i="10"/>
  <c r="E23" i="10"/>
  <c r="D23" i="10"/>
  <c r="C23" i="10"/>
  <c r="B23" i="10"/>
  <c r="M22" i="10"/>
  <c r="S10" i="10"/>
  <c r="S9" i="10"/>
  <c r="I52" i="11" l="1"/>
  <c r="I53" i="11" s="1"/>
  <c r="G22" i="11"/>
  <c r="G52" i="11"/>
  <c r="G53" i="11" s="1"/>
  <c r="H52" i="11"/>
  <c r="H53" i="11" s="1"/>
  <c r="H22" i="11"/>
  <c r="E52" i="11"/>
  <c r="E53" i="11" s="1"/>
  <c r="E22" i="11"/>
  <c r="C22" i="11"/>
  <c r="M22" i="11"/>
  <c r="M68" i="11" s="1"/>
  <c r="B22" i="11"/>
  <c r="C52" i="11"/>
  <c r="C53" i="11" s="1"/>
  <c r="M52" i="11"/>
  <c r="M53" i="11" s="1"/>
  <c r="N29" i="11"/>
  <c r="N30" i="11" s="1"/>
  <c r="N31" i="11" s="1"/>
  <c r="F22" i="11"/>
  <c r="K52" i="11"/>
  <c r="K53" i="11" s="1"/>
  <c r="F52" i="11"/>
  <c r="F53" i="11" s="1"/>
  <c r="M67" i="11"/>
  <c r="D22" i="11"/>
  <c r="D67" i="11"/>
  <c r="H67" i="11"/>
  <c r="H68" i="11" s="1"/>
  <c r="G67" i="11"/>
  <c r="G13" i="12"/>
  <c r="G15" i="12" s="1"/>
  <c r="N6" i="12"/>
  <c r="D8" i="12"/>
  <c r="F14" i="12"/>
  <c r="F15" i="12" s="1"/>
  <c r="K14" i="12"/>
  <c r="K15" i="12" s="1"/>
  <c r="L9" i="12"/>
  <c r="F8" i="12"/>
  <c r="M9" i="12"/>
  <c r="C8" i="12"/>
  <c r="I7" i="12"/>
  <c r="C67" i="11"/>
  <c r="E67" i="11"/>
  <c r="B42" i="10"/>
  <c r="B41" i="12"/>
  <c r="B42" i="12" s="1"/>
  <c r="N41" i="10"/>
  <c r="D42" i="10"/>
  <c r="D41" i="12"/>
  <c r="D42" i="12" s="1"/>
  <c r="M14" i="12"/>
  <c r="M42" i="10"/>
  <c r="M41" i="12"/>
  <c r="M42" i="12" s="1"/>
  <c r="C42" i="10"/>
  <c r="C41" i="12"/>
  <c r="C42" i="12" s="1"/>
  <c r="N50" i="10"/>
  <c r="D7" i="12"/>
  <c r="G8" i="12"/>
  <c r="G9" i="12"/>
  <c r="M8" i="12"/>
  <c r="E13" i="12"/>
  <c r="E15" i="12" s="1"/>
  <c r="L42" i="10"/>
  <c r="L41" i="12"/>
  <c r="F9" i="12"/>
  <c r="B7" i="12"/>
  <c r="J8" i="12"/>
  <c r="H14" i="12"/>
  <c r="H15" i="12" s="1"/>
  <c r="K7" i="12"/>
  <c r="E8" i="12"/>
  <c r="J42" i="10"/>
  <c r="J41" i="12"/>
  <c r="B8" i="12"/>
  <c r="C7" i="12"/>
  <c r="H7" i="12"/>
  <c r="K42" i="10"/>
  <c r="K41" i="12"/>
  <c r="K42" i="12" s="1"/>
  <c r="I42" i="10"/>
  <c r="I41" i="12"/>
  <c r="I42" i="12" s="1"/>
  <c r="L7" i="12"/>
  <c r="L10" i="12" s="1"/>
  <c r="K9" i="12"/>
  <c r="E9" i="12"/>
  <c r="L13" i="12"/>
  <c r="L15" i="12" s="1"/>
  <c r="B14" i="12"/>
  <c r="B15" i="12" s="1"/>
  <c r="J13" i="12"/>
  <c r="J15" i="12" s="1"/>
  <c r="M23" i="10"/>
  <c r="N23" i="10" s="1"/>
  <c r="N22" i="10"/>
  <c r="H42" i="10"/>
  <c r="H41" i="12"/>
  <c r="H42" i="12" s="1"/>
  <c r="J42" i="12"/>
  <c r="I8" i="12"/>
  <c r="H8" i="12"/>
  <c r="J9" i="12"/>
  <c r="B9" i="12"/>
  <c r="E42" i="10"/>
  <c r="E41" i="12"/>
  <c r="G42" i="10"/>
  <c r="G41" i="12"/>
  <c r="G42" i="12" s="1"/>
  <c r="L42" i="12"/>
  <c r="C13" i="12"/>
  <c r="C15" i="12" s="1"/>
  <c r="E7" i="12"/>
  <c r="N12" i="12"/>
  <c r="F42" i="10"/>
  <c r="F41" i="12"/>
  <c r="F42" i="12" s="1"/>
  <c r="M13" i="12"/>
  <c r="D14" i="12"/>
  <c r="I14" i="12"/>
  <c r="I15" i="12" s="1"/>
  <c r="D13" i="12"/>
  <c r="I22" i="11"/>
  <c r="N55" i="12"/>
  <c r="N110" i="12" s="1"/>
  <c r="R37" i="12" s="1"/>
  <c r="U37" i="12" s="1"/>
  <c r="U36" i="12" s="1"/>
  <c r="B110" i="12"/>
  <c r="N43" i="11"/>
  <c r="N44" i="11" s="1"/>
  <c r="N45" i="11" s="1"/>
  <c r="L67" i="11"/>
  <c r="B67" i="11"/>
  <c r="N51" i="11"/>
  <c r="J52" i="11"/>
  <c r="J53" i="11" s="1"/>
  <c r="N14" i="11"/>
  <c r="N52" i="11" s="1"/>
  <c r="N53" i="11" s="1"/>
  <c r="L22" i="11"/>
  <c r="J67" i="11"/>
  <c r="K22" i="11"/>
  <c r="K67" i="11"/>
  <c r="F67" i="11"/>
  <c r="L52" i="11"/>
  <c r="L53" i="11" s="1"/>
  <c r="J22" i="11"/>
  <c r="K37" i="11"/>
  <c r="K38" i="11" s="1"/>
  <c r="N36" i="11"/>
  <c r="N37" i="11" s="1"/>
  <c r="N38" i="11" s="1"/>
  <c r="N10" i="11"/>
  <c r="I67" i="11"/>
  <c r="F55" i="10"/>
  <c r="F110" i="10" s="1"/>
  <c r="B55" i="10"/>
  <c r="E55" i="10"/>
  <c r="E110" i="10" s="1"/>
  <c r="N55" i="10"/>
  <c r="D55" i="10"/>
  <c r="D110" i="10" s="1"/>
  <c r="L55" i="10"/>
  <c r="L110" i="10" s="1"/>
  <c r="K55" i="10"/>
  <c r="K110" i="10" s="1"/>
  <c r="J55" i="10"/>
  <c r="J110" i="10" s="1"/>
  <c r="I55" i="10"/>
  <c r="I110" i="10" s="1"/>
  <c r="H55" i="10"/>
  <c r="H110" i="10" s="1"/>
  <c r="G55" i="10"/>
  <c r="G110" i="10" s="1"/>
  <c r="N83" i="10"/>
  <c r="N129" i="10"/>
  <c r="B88" i="10"/>
  <c r="F145" i="10"/>
  <c r="F146" i="10" s="1"/>
  <c r="F147" i="10" s="1"/>
  <c r="N88" i="10"/>
  <c r="N137" i="10"/>
  <c r="I145" i="10"/>
  <c r="I146" i="10" s="1"/>
  <c r="I147" i="10" s="1"/>
  <c r="H145" i="10"/>
  <c r="H146" i="10" s="1"/>
  <c r="H147" i="10" s="1"/>
  <c r="E145" i="10"/>
  <c r="E146" i="10" s="1"/>
  <c r="E147" i="10" s="1"/>
  <c r="N42" i="10"/>
  <c r="G145" i="10"/>
  <c r="K145" i="10"/>
  <c r="K146" i="10" s="1"/>
  <c r="K147" i="10" s="1"/>
  <c r="B145" i="10"/>
  <c r="B146" i="10" s="1"/>
  <c r="B147" i="10" s="1"/>
  <c r="L145" i="10"/>
  <c r="L146" i="10" s="1"/>
  <c r="L147" i="10" s="1"/>
  <c r="N143" i="10"/>
  <c r="J145" i="10"/>
  <c r="J146" i="10" s="1"/>
  <c r="J147" i="10" s="1"/>
  <c r="S8" i="10"/>
  <c r="O19" i="10" s="1"/>
  <c r="C145" i="10"/>
  <c r="C146" i="10" s="1"/>
  <c r="C147" i="10" s="1"/>
  <c r="M145" i="10"/>
  <c r="D145" i="10"/>
  <c r="D146" i="10" s="1"/>
  <c r="D147" i="10" s="1"/>
  <c r="N133" i="10"/>
  <c r="G146" i="10"/>
  <c r="G147" i="10" s="1"/>
  <c r="S6" i="10"/>
  <c r="L37" i="10" s="1"/>
  <c r="L38" i="10" s="1"/>
  <c r="M10" i="12" l="1"/>
  <c r="G68" i="11"/>
  <c r="G140" i="11" s="1"/>
  <c r="G141" i="11" s="1"/>
  <c r="B68" i="11"/>
  <c r="B69" i="11" s="1"/>
  <c r="C68" i="11"/>
  <c r="C69" i="11" s="1"/>
  <c r="E68" i="11"/>
  <c r="E69" i="11" s="1"/>
  <c r="H10" i="12"/>
  <c r="H23" i="12" s="1"/>
  <c r="H146" i="12" s="1"/>
  <c r="H147" i="12" s="1"/>
  <c r="I10" i="12"/>
  <c r="I23" i="12" s="1"/>
  <c r="I146" i="12" s="1"/>
  <c r="I147" i="12" s="1"/>
  <c r="C10" i="12"/>
  <c r="C23" i="12" s="1"/>
  <c r="C146" i="12" s="1"/>
  <c r="C147" i="12" s="1"/>
  <c r="F68" i="11"/>
  <c r="F69" i="11" s="1"/>
  <c r="N67" i="11"/>
  <c r="D68" i="11"/>
  <c r="D69" i="11" s="1"/>
  <c r="M15" i="12"/>
  <c r="D10" i="12"/>
  <c r="F10" i="12"/>
  <c r="F23" i="12" s="1"/>
  <c r="F146" i="12" s="1"/>
  <c r="F147" i="12" s="1"/>
  <c r="N13" i="12"/>
  <c r="E10" i="12"/>
  <c r="E23" i="12" s="1"/>
  <c r="E146" i="12" s="1"/>
  <c r="E147" i="12" s="1"/>
  <c r="N8" i="12"/>
  <c r="J10" i="12"/>
  <c r="J23" i="12" s="1"/>
  <c r="J146" i="12" s="1"/>
  <c r="J147" i="12" s="1"/>
  <c r="G10" i="12"/>
  <c r="G23" i="12" s="1"/>
  <c r="G146" i="12" s="1"/>
  <c r="G147" i="12" s="1"/>
  <c r="B10" i="12"/>
  <c r="K10" i="12"/>
  <c r="K23" i="12" s="1"/>
  <c r="K146" i="12" s="1"/>
  <c r="K147" i="12" s="1"/>
  <c r="N9" i="12"/>
  <c r="M37" i="10"/>
  <c r="M38" i="10" s="1"/>
  <c r="B37" i="10"/>
  <c r="B38" i="10" s="1"/>
  <c r="L68" i="11"/>
  <c r="L69" i="11" s="1"/>
  <c r="K37" i="10"/>
  <c r="K38" i="10" s="1"/>
  <c r="D15" i="12"/>
  <c r="N110" i="10"/>
  <c r="N14" i="12"/>
  <c r="N7" i="12"/>
  <c r="N41" i="12"/>
  <c r="N42" i="12" s="1"/>
  <c r="E42" i="12"/>
  <c r="L23" i="12"/>
  <c r="L146" i="12" s="1"/>
  <c r="L147" i="12" s="1"/>
  <c r="J37" i="10"/>
  <c r="J38" i="10" s="1"/>
  <c r="S6" i="12"/>
  <c r="B110" i="10"/>
  <c r="M146" i="10"/>
  <c r="M147" i="10" s="1"/>
  <c r="I68" i="11"/>
  <c r="I69" i="11" s="1"/>
  <c r="J68" i="11"/>
  <c r="J69" i="11" s="1"/>
  <c r="N22" i="11"/>
  <c r="G69" i="11"/>
  <c r="K68" i="11"/>
  <c r="K140" i="11" s="1"/>
  <c r="K141" i="11" s="1"/>
  <c r="H69" i="11"/>
  <c r="H140" i="11"/>
  <c r="H141" i="11" s="1"/>
  <c r="M69" i="11"/>
  <c r="M140" i="11"/>
  <c r="M141" i="11" s="1"/>
  <c r="D29" i="10"/>
  <c r="D30" i="10" s="1"/>
  <c r="G27" i="10"/>
  <c r="K27" i="10"/>
  <c r="H27" i="10"/>
  <c r="L31" i="10"/>
  <c r="L32" i="10" s="1"/>
  <c r="B29" i="10"/>
  <c r="H29" i="10"/>
  <c r="H30" i="10" s="1"/>
  <c r="M31" i="10"/>
  <c r="M32" i="10" s="1"/>
  <c r="K31" i="10"/>
  <c r="K32" i="10" s="1"/>
  <c r="D37" i="10"/>
  <c r="D38" i="10" s="1"/>
  <c r="G29" i="10"/>
  <c r="G30" i="10" s="1"/>
  <c r="E37" i="10"/>
  <c r="E38" i="10" s="1"/>
  <c r="F29" i="10"/>
  <c r="F30" i="10" s="1"/>
  <c r="J31" i="10"/>
  <c r="J32" i="10" s="1"/>
  <c r="E29" i="10"/>
  <c r="E30" i="10" s="1"/>
  <c r="D31" i="10"/>
  <c r="D32" i="10" s="1"/>
  <c r="N145" i="10"/>
  <c r="N146" i="10" s="1"/>
  <c r="N147" i="10" s="1"/>
  <c r="J27" i="10"/>
  <c r="C31" i="10"/>
  <c r="C32" i="10" s="1"/>
  <c r="I27" i="10"/>
  <c r="C37" i="10"/>
  <c r="C38" i="10" s="1"/>
  <c r="M29" i="10"/>
  <c r="M30" i="10" s="1"/>
  <c r="I31" i="10"/>
  <c r="I32" i="10" s="1"/>
  <c r="L29" i="10"/>
  <c r="L30" i="10" s="1"/>
  <c r="H31" i="10"/>
  <c r="H32" i="10" s="1"/>
  <c r="G37" i="10"/>
  <c r="G38" i="10" s="1"/>
  <c r="K29" i="10"/>
  <c r="K30" i="10" s="1"/>
  <c r="G31" i="10"/>
  <c r="G32" i="10" s="1"/>
  <c r="H37" i="10"/>
  <c r="H38" i="10" s="1"/>
  <c r="C29" i="10"/>
  <c r="C30" i="10" s="1"/>
  <c r="F27" i="10"/>
  <c r="F37" i="10"/>
  <c r="F38" i="10" s="1"/>
  <c r="B27" i="10"/>
  <c r="E27" i="10"/>
  <c r="D27" i="10"/>
  <c r="T9" i="10"/>
  <c r="J29" i="10"/>
  <c r="J30" i="10" s="1"/>
  <c r="M27" i="10"/>
  <c r="C27" i="10"/>
  <c r="F31" i="10"/>
  <c r="F32" i="10" s="1"/>
  <c r="I37" i="10"/>
  <c r="I38" i="10" s="1"/>
  <c r="T10" i="10"/>
  <c r="I29" i="10"/>
  <c r="I30" i="10" s="1"/>
  <c r="L27" i="10"/>
  <c r="B31" i="10"/>
  <c r="E31" i="10"/>
  <c r="E32" i="10" s="1"/>
  <c r="M23" i="12" l="1"/>
  <c r="M146" i="12" s="1"/>
  <c r="M147" i="12" s="1"/>
  <c r="C140" i="11"/>
  <c r="C141" i="11" s="1"/>
  <c r="B140" i="11"/>
  <c r="B141" i="11" s="1"/>
  <c r="E140" i="11"/>
  <c r="E141" i="11" s="1"/>
  <c r="F140" i="11"/>
  <c r="F141" i="11" s="1"/>
  <c r="D140" i="11"/>
  <c r="D141" i="11" s="1"/>
  <c r="N68" i="11"/>
  <c r="S26" i="11" s="1"/>
  <c r="S25" i="11"/>
  <c r="L140" i="11"/>
  <c r="L141" i="11" s="1"/>
  <c r="N10" i="12"/>
  <c r="D23" i="12"/>
  <c r="D146" i="12" s="1"/>
  <c r="D147" i="12" s="1"/>
  <c r="B23" i="12"/>
  <c r="B146" i="12" s="1"/>
  <c r="B147" i="12" s="1"/>
  <c r="N15" i="12"/>
  <c r="I140" i="11"/>
  <c r="I141" i="11" s="1"/>
  <c r="L33" i="10"/>
  <c r="F33" i="10"/>
  <c r="J28" i="10"/>
  <c r="J33" i="10"/>
  <c r="G28" i="10"/>
  <c r="G33" i="10"/>
  <c r="C33" i="10"/>
  <c r="M33" i="10"/>
  <c r="N37" i="10"/>
  <c r="N38" i="10" s="1"/>
  <c r="B32" i="10"/>
  <c r="N31" i="10"/>
  <c r="N32" i="10" s="1"/>
  <c r="B30" i="10"/>
  <c r="N29" i="10"/>
  <c r="N30" i="10" s="1"/>
  <c r="E33" i="10"/>
  <c r="L29" i="12"/>
  <c r="L30" i="12" s="1"/>
  <c r="M27" i="12"/>
  <c r="M28" i="12" s="1"/>
  <c r="E29" i="12"/>
  <c r="E30" i="12" s="1"/>
  <c r="I31" i="12"/>
  <c r="I32" i="12" s="1"/>
  <c r="E31" i="12"/>
  <c r="E32" i="12" s="1"/>
  <c r="M29" i="12"/>
  <c r="M30" i="12" s="1"/>
  <c r="H27" i="12"/>
  <c r="H28" i="12" s="1"/>
  <c r="H31" i="12"/>
  <c r="H32" i="12" s="1"/>
  <c r="I29" i="12"/>
  <c r="I30" i="12" s="1"/>
  <c r="I27" i="12"/>
  <c r="I28" i="12" s="1"/>
  <c r="B29" i="12"/>
  <c r="B30" i="12" s="1"/>
  <c r="F31" i="12"/>
  <c r="F32" i="12" s="1"/>
  <c r="H29" i="12"/>
  <c r="H30" i="12" s="1"/>
  <c r="F29" i="12"/>
  <c r="F30" i="12" s="1"/>
  <c r="K37" i="12"/>
  <c r="K38" i="12" s="1"/>
  <c r="G29" i="12"/>
  <c r="G30" i="12" s="1"/>
  <c r="D37" i="12"/>
  <c r="D38" i="12" s="1"/>
  <c r="F37" i="12"/>
  <c r="F38" i="12" s="1"/>
  <c r="L31" i="12"/>
  <c r="L32" i="12" s="1"/>
  <c r="J29" i="12"/>
  <c r="J30" i="12" s="1"/>
  <c r="J31" i="12"/>
  <c r="J32" i="12" s="1"/>
  <c r="F27" i="12"/>
  <c r="B27" i="12"/>
  <c r="B28" i="12" s="1"/>
  <c r="J27" i="12"/>
  <c r="J28" i="12" s="1"/>
  <c r="E37" i="12"/>
  <c r="E38" i="12" s="1"/>
  <c r="B31" i="12"/>
  <c r="G27" i="12"/>
  <c r="E27" i="12"/>
  <c r="D31" i="12"/>
  <c r="D32" i="12" s="1"/>
  <c r="H37" i="12"/>
  <c r="H38" i="12" s="1"/>
  <c r="L27" i="12"/>
  <c r="D29" i="12"/>
  <c r="D30" i="12" s="1"/>
  <c r="C29" i="12"/>
  <c r="C30" i="12" s="1"/>
  <c r="G37" i="12"/>
  <c r="G38" i="12" s="1"/>
  <c r="B37" i="12"/>
  <c r="B38" i="12" s="1"/>
  <c r="C31" i="12"/>
  <c r="C32" i="12" s="1"/>
  <c r="K31" i="12"/>
  <c r="K32" i="12" s="1"/>
  <c r="L37" i="12"/>
  <c r="L38" i="12" s="1"/>
  <c r="G31" i="12"/>
  <c r="G32" i="12" s="1"/>
  <c r="K27" i="12"/>
  <c r="K28" i="12" s="1"/>
  <c r="K29" i="12"/>
  <c r="K30" i="12" s="1"/>
  <c r="C37" i="12"/>
  <c r="C38" i="12" s="1"/>
  <c r="M37" i="12"/>
  <c r="M38" i="12" s="1"/>
  <c r="M31" i="12"/>
  <c r="M32" i="12" s="1"/>
  <c r="D27" i="12"/>
  <c r="I37" i="12"/>
  <c r="I38" i="12" s="1"/>
  <c r="J37" i="12"/>
  <c r="J38" i="12" s="1"/>
  <c r="C27" i="12"/>
  <c r="C28" i="12" s="1"/>
  <c r="K28" i="10"/>
  <c r="K33" i="10"/>
  <c r="I28" i="10"/>
  <c r="I33" i="10"/>
  <c r="D33" i="10"/>
  <c r="N27" i="10"/>
  <c r="B33" i="10"/>
  <c r="H28" i="10"/>
  <c r="H33" i="10"/>
  <c r="H34" i="10" s="1"/>
  <c r="J140" i="11"/>
  <c r="J141" i="11" s="1"/>
  <c r="K69" i="11"/>
  <c r="L28" i="10"/>
  <c r="D28" i="10"/>
  <c r="E28" i="10"/>
  <c r="B28" i="10"/>
  <c r="C28" i="10"/>
  <c r="F28" i="10"/>
  <c r="M28" i="10"/>
  <c r="N33" i="10" l="1"/>
  <c r="N34" i="10" s="1"/>
  <c r="S9" i="12"/>
  <c r="T9" i="12" s="1"/>
  <c r="N140" i="11"/>
  <c r="N142" i="11" s="1"/>
  <c r="N69" i="11"/>
  <c r="S10" i="12"/>
  <c r="T10" i="12" s="1"/>
  <c r="N23" i="12"/>
  <c r="D33" i="12"/>
  <c r="D44" i="12" s="1"/>
  <c r="L33" i="12"/>
  <c r="L44" i="12" s="1"/>
  <c r="N31" i="12"/>
  <c r="N32" i="12" s="1"/>
  <c r="D28" i="12"/>
  <c r="J33" i="12"/>
  <c r="J34" i="12" s="1"/>
  <c r="F33" i="12"/>
  <c r="F34" i="12" s="1"/>
  <c r="L28" i="12"/>
  <c r="M33" i="12"/>
  <c r="M34" i="12" s="1"/>
  <c r="B33" i="12"/>
  <c r="B34" i="12" s="1"/>
  <c r="F28" i="12"/>
  <c r="E33" i="12"/>
  <c r="E34" i="12" s="1"/>
  <c r="G33" i="12"/>
  <c r="G44" i="12" s="1"/>
  <c r="E28" i="12"/>
  <c r="C33" i="12"/>
  <c r="C34" i="12" s="1"/>
  <c r="B32" i="12"/>
  <c r="G28" i="12"/>
  <c r="N29" i="12"/>
  <c r="N30" i="12" s="1"/>
  <c r="N27" i="12"/>
  <c r="N37" i="12"/>
  <c r="N38" i="12" s="1"/>
  <c r="I33" i="12"/>
  <c r="I44" i="12" s="1"/>
  <c r="H33" i="12"/>
  <c r="H44" i="12" s="1"/>
  <c r="N28" i="10"/>
  <c r="K33" i="12"/>
  <c r="K44" i="12" s="1"/>
  <c r="H44" i="10"/>
  <c r="H45" i="10" s="1"/>
  <c r="H46" i="10" s="1"/>
  <c r="E34" i="10"/>
  <c r="E44" i="10"/>
  <c r="F44" i="10"/>
  <c r="F34" i="10"/>
  <c r="N44" i="10"/>
  <c r="K44" i="10"/>
  <c r="K34" i="10"/>
  <c r="G34" i="10"/>
  <c r="G44" i="10"/>
  <c r="I34" i="10"/>
  <c r="I44" i="10"/>
  <c r="L34" i="10"/>
  <c r="L44" i="10"/>
  <c r="M34" i="10"/>
  <c r="M44" i="10"/>
  <c r="D34" i="10"/>
  <c r="D44" i="10"/>
  <c r="B34" i="10"/>
  <c r="B44" i="10"/>
  <c r="C34" i="10"/>
  <c r="C44" i="10"/>
  <c r="C119" i="10" s="1"/>
  <c r="J34" i="10"/>
  <c r="J44" i="10"/>
  <c r="S28" i="11" l="1"/>
  <c r="V25" i="11"/>
  <c r="V24" i="11"/>
  <c r="R35" i="12"/>
  <c r="N146" i="12"/>
  <c r="N147" i="12" s="1"/>
  <c r="L34" i="12"/>
  <c r="D34" i="12"/>
  <c r="B44" i="12"/>
  <c r="B119" i="12" s="1"/>
  <c r="M44" i="12"/>
  <c r="M45" i="12" s="1"/>
  <c r="M46" i="12" s="1"/>
  <c r="F44" i="12"/>
  <c r="F119" i="12" s="1"/>
  <c r="F120" i="12" s="1"/>
  <c r="J44" i="12"/>
  <c r="J119" i="12" s="1"/>
  <c r="J120" i="12" s="1"/>
  <c r="E44" i="12"/>
  <c r="E45" i="12" s="1"/>
  <c r="E46" i="12" s="1"/>
  <c r="G34" i="12"/>
  <c r="K34" i="12"/>
  <c r="C44" i="12"/>
  <c r="C119" i="12" s="1"/>
  <c r="C120" i="12" s="1"/>
  <c r="N33" i="12"/>
  <c r="N34" i="12" s="1"/>
  <c r="N28" i="12"/>
  <c r="H34" i="12"/>
  <c r="I34" i="12"/>
  <c r="L119" i="12"/>
  <c r="L120" i="12" s="1"/>
  <c r="L45" i="12"/>
  <c r="L46" i="12" s="1"/>
  <c r="K45" i="12"/>
  <c r="K46" i="12" s="1"/>
  <c r="K119" i="12"/>
  <c r="K120" i="12" s="1"/>
  <c r="I119" i="12"/>
  <c r="I120" i="12" s="1"/>
  <c r="I45" i="12"/>
  <c r="I46" i="12" s="1"/>
  <c r="G119" i="12"/>
  <c r="G120" i="12" s="1"/>
  <c r="G45" i="12"/>
  <c r="G46" i="12" s="1"/>
  <c r="H119" i="12"/>
  <c r="H120" i="12" s="1"/>
  <c r="H45" i="12"/>
  <c r="H46" i="12" s="1"/>
  <c r="D45" i="12"/>
  <c r="D46" i="12" s="1"/>
  <c r="D119" i="12"/>
  <c r="D120" i="12" s="1"/>
  <c r="H119" i="10"/>
  <c r="H120" i="10" s="1"/>
  <c r="D45" i="10"/>
  <c r="D46" i="10" s="1"/>
  <c r="D119" i="10"/>
  <c r="D120" i="10" s="1"/>
  <c r="K45" i="10"/>
  <c r="K46" i="10" s="1"/>
  <c r="K119" i="10"/>
  <c r="K120" i="10" s="1"/>
  <c r="M45" i="10"/>
  <c r="M46" i="10" s="1"/>
  <c r="M119" i="10"/>
  <c r="M120" i="10" s="1"/>
  <c r="J45" i="10"/>
  <c r="J46" i="10" s="1"/>
  <c r="J119" i="10"/>
  <c r="J120" i="10" s="1"/>
  <c r="L45" i="10"/>
  <c r="L46" i="10" s="1"/>
  <c r="L119" i="10"/>
  <c r="L120" i="10" s="1"/>
  <c r="F45" i="10"/>
  <c r="F46" i="10" s="1"/>
  <c r="F119" i="10"/>
  <c r="F120" i="10" s="1"/>
  <c r="C45" i="10"/>
  <c r="C46" i="10" s="1"/>
  <c r="C120" i="10"/>
  <c r="I45" i="10"/>
  <c r="I46" i="10" s="1"/>
  <c r="I119" i="10"/>
  <c r="I120" i="10" s="1"/>
  <c r="E45" i="10"/>
  <c r="E46" i="10" s="1"/>
  <c r="E119" i="10"/>
  <c r="E120" i="10" s="1"/>
  <c r="B45" i="10"/>
  <c r="B46" i="10" s="1"/>
  <c r="B119" i="10"/>
  <c r="G45" i="10"/>
  <c r="G46" i="10" s="1"/>
  <c r="G119" i="10"/>
  <c r="G120" i="10" s="1"/>
  <c r="N45" i="10"/>
  <c r="N46" i="10" s="1"/>
  <c r="N119" i="10"/>
  <c r="N120" i="10" s="1"/>
  <c r="F45" i="12" l="1"/>
  <c r="F46" i="12" s="1"/>
  <c r="J45" i="12"/>
  <c r="J46" i="12" s="1"/>
  <c r="M119" i="12"/>
  <c r="M120" i="12" s="1"/>
  <c r="B45" i="12"/>
  <c r="B46" i="12" s="1"/>
  <c r="E119" i="12"/>
  <c r="E120" i="12" s="1"/>
  <c r="C45" i="12"/>
  <c r="C46" i="12" s="1"/>
  <c r="N44" i="12"/>
  <c r="B120" i="10"/>
  <c r="P119" i="10"/>
  <c r="B120" i="12"/>
  <c r="P119" i="12" l="1"/>
  <c r="N45" i="12"/>
  <c r="N119" i="12"/>
  <c r="N46" i="12" l="1"/>
  <c r="R36" i="12"/>
  <c r="N120" i="12"/>
  <c r="R38" i="12"/>
  <c r="U35" i="12" l="1"/>
</calcChain>
</file>

<file path=xl/sharedStrings.xml><?xml version="1.0" encoding="utf-8"?>
<sst xmlns="http://schemas.openxmlformats.org/spreadsheetml/2006/main" count="785" uniqueCount="269">
  <si>
    <t>Mountain Side Cleaning Inc. - Profit and Loss by Month</t>
  </si>
  <si>
    <t>April 2022 - March 2023</t>
  </si>
  <si>
    <t>Note:  For FFLG educational purposes - NOT A TEMPLATE!</t>
  </si>
  <si>
    <t>Apr. 2022</t>
  </si>
  <si>
    <t>Jun. 2022</t>
  </si>
  <si>
    <t>Jul. 2022</t>
  </si>
  <si>
    <t>Aug. 2022</t>
  </si>
  <si>
    <t>Sep. 2022</t>
  </si>
  <si>
    <t>Oct. 2022</t>
  </si>
  <si>
    <t>Nov. 2022</t>
  </si>
  <si>
    <t>Dec. 2022</t>
  </si>
  <si>
    <t>Jan. 2023</t>
  </si>
  <si>
    <t>Feb. 2023</t>
  </si>
  <si>
    <t>Mar. 2023</t>
  </si>
  <si>
    <t>Total</t>
  </si>
  <si>
    <t xml:space="preserve">   INCOME</t>
  </si>
  <si>
    <t xml:space="preserve">      4050 RESIDENTIAL</t>
  </si>
  <si>
    <t>Attribution</t>
  </si>
  <si>
    <t>Supplies</t>
  </si>
  <si>
    <t>Auto</t>
  </si>
  <si>
    <t>Labor</t>
  </si>
  <si>
    <t>Subs</t>
  </si>
  <si>
    <t>UnCat</t>
  </si>
  <si>
    <t>Total COGS</t>
  </si>
  <si>
    <t xml:space="preserve">         4051 Private vacations homes</t>
  </si>
  <si>
    <t xml:space="preserve">         4052 Reoccuring homeowners</t>
  </si>
  <si>
    <t xml:space="preserve">         4053 Vacation rentals (airbnb/book/vrbo)</t>
  </si>
  <si>
    <t xml:space="preserve">      Total 4050 Residential</t>
  </si>
  <si>
    <t> </t>
  </si>
  <si>
    <t xml:space="preserve">      4070 Commercial</t>
  </si>
  <si>
    <t xml:space="preserve"> $                  -  </t>
  </si>
  <si>
    <t xml:space="preserve">         4071 Long term contracts</t>
  </si>
  <si>
    <t xml:space="preserve">         4072 Special requests</t>
  </si>
  <si>
    <t xml:space="preserve">      Total 4070 Commercial</t>
  </si>
  <si>
    <t xml:space="preserve">      4090 Linen &amp; Laundry</t>
  </si>
  <si>
    <t xml:space="preserve">         4091 Linen service</t>
  </si>
  <si>
    <t xml:space="preserve">         4092 Laundry service</t>
  </si>
  <si>
    <t xml:space="preserve">      Total 4090 Linen &amp; Laundry</t>
  </si>
  <si>
    <t xml:space="preserve">      4015 Refunds-Allowances</t>
  </si>
  <si>
    <t xml:space="preserve">      4017 Sales - linens</t>
  </si>
  <si>
    <t xml:space="preserve">      4018 Uncategorized Income</t>
  </si>
  <si>
    <t xml:space="preserve">   Total Income</t>
  </si>
  <si>
    <t xml:space="preserve">   COST OF GOODS SOLD</t>
  </si>
  <si>
    <t>5010 RESIDENTIAL COGS</t>
  </si>
  <si>
    <t xml:space="preserve">         5051 PVH - Auto</t>
  </si>
  <si>
    <t xml:space="preserve">         5051 PVH - Labour</t>
  </si>
  <si>
    <t xml:space="preserve">         5051 PVH - Supplies</t>
  </si>
  <si>
    <t>Private Vacation Home COGS</t>
  </si>
  <si>
    <t>PVH Gross Profit</t>
  </si>
  <si>
    <t>Private Vacation Homes Gross Margin</t>
  </si>
  <si>
    <t xml:space="preserve">         5052 RH - Auto</t>
  </si>
  <si>
    <t xml:space="preserve">         5052 RH - Labour</t>
  </si>
  <si>
    <t xml:space="preserve">         5052 RH - Supplies</t>
  </si>
  <si>
    <t>Recurring Homeowner COGS</t>
  </si>
  <si>
    <t>RH Gross Profit</t>
  </si>
  <si>
    <t>Recurring Home Owners Gross Margin</t>
  </si>
  <si>
    <t xml:space="preserve">         5053 Vacation Rentals - Auto</t>
  </si>
  <si>
    <t xml:space="preserve">         5053 Vacation Rentals - Labour</t>
  </si>
  <si>
    <t xml:space="preserve">         5053 Vacation Rentals- Supplies</t>
  </si>
  <si>
    <t>Vacation Rental COGS</t>
  </si>
  <si>
    <t>Vacation Rentals Gross Profit</t>
  </si>
  <si>
    <t>Vacation Rentals Gross Margin</t>
  </si>
  <si>
    <t>TOTAL RESIDENTIAL GM</t>
  </si>
  <si>
    <t>5070 COMMERCIAL COGS</t>
  </si>
  <si>
    <t xml:space="preserve">         5071 Commercial LT w SR- Auto</t>
  </si>
  <si>
    <t xml:space="preserve">         5071 Commercial LT w  SR- Labour</t>
  </si>
  <si>
    <t xml:space="preserve">         5071 Commercial LT w SR - Supplies</t>
  </si>
  <si>
    <t>Commercial COGS</t>
  </si>
  <si>
    <t>Commercial LT w SR Gross Profit</t>
  </si>
  <si>
    <t>Commercial LT w SR Gross Margin</t>
  </si>
  <si>
    <t>5090 LAUNDRY &amp; LINEN COGS</t>
  </si>
  <si>
    <t xml:space="preserve">         5091 L&amp;L- Auto</t>
  </si>
  <si>
    <t xml:space="preserve">         5091 L&amp;L- Labour</t>
  </si>
  <si>
    <t xml:space="preserve">         5091 L&amp;L - Supplies</t>
  </si>
  <si>
    <t>Laundry &amp; Linen COGS</t>
  </si>
  <si>
    <t>L&amp;L Gross Profit</t>
  </si>
  <si>
    <t>L&amp;L Gross Margin</t>
  </si>
  <si>
    <t xml:space="preserve">      5040 Subcontractors - COGS</t>
  </si>
  <si>
    <t xml:space="preserve">         5041 Subcontract T4A - COGS</t>
  </si>
  <si>
    <t xml:space="preserve">      Total 5040 Subcontractors - COGS</t>
  </si>
  <si>
    <t xml:space="preserve"> $             -  </t>
  </si>
  <si>
    <t xml:space="preserve"> $               -  </t>
  </si>
  <si>
    <t xml:space="preserve"> $                -  </t>
  </si>
  <si>
    <t xml:space="preserve">   Total Cost of Goods Sold</t>
  </si>
  <si>
    <t>GROSS PROFIT</t>
  </si>
  <si>
    <t>GROSS MARGIN</t>
  </si>
  <si>
    <t>EXPENSES</t>
  </si>
  <si>
    <t xml:space="preserve">   6010 Advertising/Promotional</t>
  </si>
  <si>
    <t xml:space="preserve">      6011 Staff Incentive</t>
  </si>
  <si>
    <t xml:space="preserve">      6012 Recruiting</t>
  </si>
  <si>
    <t xml:space="preserve">      6013 SEO Marketing</t>
  </si>
  <si>
    <t xml:space="preserve">   Total 6010 Advertising/Promotional</t>
  </si>
  <si>
    <t xml:space="preserve">   6020 Amortization Expense</t>
  </si>
  <si>
    <t xml:space="preserve">   6030 Automobile</t>
  </si>
  <si>
    <t xml:space="preserve">   6040 Bad debts</t>
  </si>
  <si>
    <t xml:space="preserve">   6050 Bank charges</t>
  </si>
  <si>
    <t xml:space="preserve">      6051 Late Pmt Fees</t>
  </si>
  <si>
    <t xml:space="preserve">      6052 Merchant Fees</t>
  </si>
  <si>
    <t xml:space="preserve">      6053 Stripe merch fees</t>
  </si>
  <si>
    <t xml:space="preserve">   Total 6050 Bank charges </t>
  </si>
  <si>
    <t xml:space="preserve">   6080 Charitable Contributions</t>
  </si>
  <si>
    <t xml:space="preserve">   6090 Disposal Fees</t>
  </si>
  <si>
    <t xml:space="preserve">   6100 Dues and Subscriptions</t>
  </si>
  <si>
    <t xml:space="preserve">   6110 Freight and Delivery</t>
  </si>
  <si>
    <t xml:space="preserve">   6120 Income Tax</t>
  </si>
  <si>
    <t xml:space="preserve">   6130 Insurance</t>
  </si>
  <si>
    <t xml:space="preserve">   6140 Interest expense</t>
  </si>
  <si>
    <t xml:space="preserve">   6150 Legal and professional fees</t>
  </si>
  <si>
    <t xml:space="preserve">      6151 Accounting</t>
  </si>
  <si>
    <t xml:space="preserve">      6152 Bookkeeping</t>
  </si>
  <si>
    <t xml:space="preserve">      6153 Legal</t>
  </si>
  <si>
    <t xml:space="preserve">   Total 6150 Professional fees</t>
  </si>
  <si>
    <t xml:space="preserve">   6160 Meals and entertainment</t>
  </si>
  <si>
    <t xml:space="preserve">   6170 Office expenses</t>
  </si>
  <si>
    <t xml:space="preserve">      6171 Office Supplies</t>
  </si>
  <si>
    <t xml:space="preserve">      6172 Programs &amp; Apps</t>
  </si>
  <si>
    <t xml:space="preserve">   Total 6170 Office expenses</t>
  </si>
  <si>
    <t xml:space="preserve">   6200 Payroll Expenses</t>
  </si>
  <si>
    <t xml:space="preserve">      6201 Admin</t>
  </si>
  <si>
    <t xml:space="preserve">         6202 Allowance</t>
  </si>
  <si>
    <t xml:space="preserve">      6205 Owner Salary</t>
  </si>
  <si>
    <t xml:space="preserve">      6206 Regular Pay</t>
  </si>
  <si>
    <t xml:space="preserve">      6207 Taxes</t>
  </si>
  <si>
    <t xml:space="preserve">   Total 6200 Payroll Expenses</t>
  </si>
  <si>
    <t xml:space="preserve">   6240 Permits and Licenses</t>
  </si>
  <si>
    <t xml:space="preserve">   6250 Professional Development</t>
  </si>
  <si>
    <t xml:space="preserve">   6260 Reimbursements</t>
  </si>
  <si>
    <t xml:space="preserve">   6280 Rent or lease payments</t>
  </si>
  <si>
    <t xml:space="preserve">   6300 Repair and maintenance</t>
  </si>
  <si>
    <t xml:space="preserve">      6305 Building R&amp;M</t>
  </si>
  <si>
    <t xml:space="preserve">      6310 Equipment R&amp;M</t>
  </si>
  <si>
    <t xml:space="preserve">   Total 6300 Repair and maintenance</t>
  </si>
  <si>
    <t xml:space="preserve">   6320 Shipping and delivery expense</t>
  </si>
  <si>
    <t xml:space="preserve">   6330 Travel</t>
  </si>
  <si>
    <t xml:space="preserve">      6331 Airline Tickets</t>
  </si>
  <si>
    <t xml:space="preserve">   Total 6330 Travel</t>
  </si>
  <si>
    <t xml:space="preserve">   6340 Travel meals</t>
  </si>
  <si>
    <t xml:space="preserve">   6350 Uncategorized Expense</t>
  </si>
  <si>
    <t xml:space="preserve">   6360 Uniforms</t>
  </si>
  <si>
    <t xml:space="preserve">   6400 Utilities</t>
  </si>
  <si>
    <t xml:space="preserve">      6401 Cable/Internet</t>
  </si>
  <si>
    <t xml:space="preserve">      6402 Hydro</t>
  </si>
  <si>
    <t xml:space="preserve">      6403 Mobile Phone</t>
  </si>
  <si>
    <t xml:space="preserve">      6404 Telephone</t>
  </si>
  <si>
    <t xml:space="preserve">   Total 6400 Utilities</t>
  </si>
  <si>
    <t>Total Expenses</t>
  </si>
  <si>
    <t>OTHER INCOME</t>
  </si>
  <si>
    <t xml:space="preserve">   7010 Interest earned</t>
  </si>
  <si>
    <t>Total Other Income</t>
  </si>
  <si>
    <t>OTHER EXPENSES</t>
  </si>
  <si>
    <t xml:space="preserve">   8010 Penalties and settlements</t>
  </si>
  <si>
    <t xml:space="preserve">   8020 Reconciliation Discrepancies</t>
  </si>
  <si>
    <t>Total Other Expenses</t>
  </si>
  <si>
    <t>PROFIT</t>
  </si>
  <si>
    <t>PROFIT MARGIN</t>
  </si>
  <si>
    <t xml:space="preserve">      5010 Automobile  - COGS</t>
  </si>
  <si>
    <t xml:space="preserve">         5011 Auto - Residential</t>
  </si>
  <si>
    <t xml:space="preserve">         5012 Auto - Commercial</t>
  </si>
  <si>
    <t xml:space="preserve">         5013 Auto - Linen &amp; Laundry</t>
  </si>
  <si>
    <t xml:space="preserve">      5010 Total Automobile  - COGS</t>
  </si>
  <si>
    <t xml:space="preserve">      5020 Cost of Labour - COGS</t>
  </si>
  <si>
    <t xml:space="preserve">         5021 Residential - Private vacations homes</t>
  </si>
  <si>
    <t xml:space="preserve">         5022 Residential - Reoccuring homeowners</t>
  </si>
  <si>
    <t xml:space="preserve">         5024 Residentail - Vacation rentals (airbnb/bookigs/vrbo)</t>
  </si>
  <si>
    <t xml:space="preserve">         5025 Commercial - Long term contracts</t>
  </si>
  <si>
    <t xml:space="preserve">         5027 Commercial - Special requests</t>
  </si>
  <si>
    <t xml:space="preserve">         5028 Linen</t>
  </si>
  <si>
    <t xml:space="preserve">         5029 Laundry</t>
  </si>
  <si>
    <t xml:space="preserve">      5020 Total Cost of Labour - COGS</t>
  </si>
  <si>
    <t xml:space="preserve">      5030 Living Out Allowance LOA - COGS</t>
  </si>
  <si>
    <t xml:space="preserve">      5050 Supplies  - COGS</t>
  </si>
  <si>
    <t xml:space="preserve">         5051 Supplies - Residential</t>
  </si>
  <si>
    <t xml:space="preserve">         5052 Supplies - Commercial</t>
  </si>
  <si>
    <t xml:space="preserve">         5053 Linen cost</t>
  </si>
  <si>
    <t xml:space="preserve">      Total 5050 Supplies  - COGS</t>
  </si>
  <si>
    <t>Lakeside Chocolate Co. - Profit and Loss by Month</t>
  </si>
  <si>
    <t>Note:  Wholesale @ 30% discount</t>
  </si>
  <si>
    <t>Retail Price per bar</t>
  </si>
  <si>
    <t xml:space="preserve">      4050 Direct Sales - Number of Bars</t>
  </si>
  <si>
    <t>GM old calc.</t>
  </si>
  <si>
    <t>COGS - Per bar</t>
  </si>
  <si>
    <t xml:space="preserve">         4051 Website</t>
  </si>
  <si>
    <t>Total COGS Bars</t>
  </si>
  <si>
    <t xml:space="preserve">         4052 Markets</t>
  </si>
  <si>
    <t>Total COGS Raw Coco</t>
  </si>
  <si>
    <t xml:space="preserve">         4053 Drop Ins</t>
  </si>
  <si>
    <t>COGS Direct Sales Bars</t>
  </si>
  <si>
    <t xml:space="preserve">      Total 4050 Direct Sales - Bars</t>
  </si>
  <si>
    <t>COGS Wholesale Bars</t>
  </si>
  <si>
    <t xml:space="preserve">      4070 Wholesale - Number of Bars</t>
  </si>
  <si>
    <t xml:space="preserve">         4071 Grocery Stores</t>
  </si>
  <si>
    <t xml:space="preserve">         4072 Resellers</t>
  </si>
  <si>
    <t xml:space="preserve">      Total 4070 Wholesale - Bars</t>
  </si>
  <si>
    <t xml:space="preserve">      4090 Raw Coco - Reselling</t>
  </si>
  <si>
    <t xml:space="preserve">         4091 Bakeries/Grocery</t>
  </si>
  <si>
    <t xml:space="preserve">         4092 Direct Sale</t>
  </si>
  <si>
    <t xml:space="preserve">      Total 4090 Raw Coco - Reselling</t>
  </si>
  <si>
    <t xml:space="preserve">    5050 COGS - Direct Sales</t>
  </si>
  <si>
    <t xml:space="preserve">       5051 Website</t>
  </si>
  <si>
    <t>Gross Margin - Website</t>
  </si>
  <si>
    <t xml:space="preserve">       5052 Markets</t>
  </si>
  <si>
    <t>Gross Margin - Markets</t>
  </si>
  <si>
    <t xml:space="preserve">       5053 Drop-Ins</t>
  </si>
  <si>
    <t>Gross Margin - Drop-Ins</t>
  </si>
  <si>
    <t>Total COGS Direct Sales</t>
  </si>
  <si>
    <t>Gross Margin - Direct Sales</t>
  </si>
  <si>
    <t xml:space="preserve"> 5070 COGS Wholesale - Bars</t>
  </si>
  <si>
    <t xml:space="preserve">         5071 COGS Grocery Stores &amp; Resellers</t>
  </si>
  <si>
    <t>Gross Margin - Wholesale</t>
  </si>
  <si>
    <t xml:space="preserve">      5090 COGS Raw Coco - Reselling</t>
  </si>
  <si>
    <t xml:space="preserve">         5091 COGS Bakeries/Grocery/Direct</t>
  </si>
  <si>
    <t>Gross Margin - Raw Coco</t>
  </si>
  <si>
    <t>Less 100% Attributed to COGS</t>
  </si>
  <si>
    <t>Less 25% Attributed to COGS</t>
  </si>
  <si>
    <t>OLD COGS DATA - FOR CALCULATIONS ONLY</t>
  </si>
  <si>
    <t xml:space="preserve">      5010 Supplies  - COGS</t>
  </si>
  <si>
    <t xml:space="preserve">         5011 Supply - Coco</t>
  </si>
  <si>
    <t xml:space="preserve">         5012 Supply - Sugar</t>
  </si>
  <si>
    <t xml:space="preserve">         5013 Supply - Other</t>
  </si>
  <si>
    <t xml:space="preserve">      5010 Total Supply  - COGS</t>
  </si>
  <si>
    <t xml:space="preserve">      5020 Packaging with labour</t>
  </si>
  <si>
    <t xml:space="preserve"> 5021 Packaging - Bar wraps and boxes</t>
  </si>
  <si>
    <t xml:space="preserve">         5022 Packaging - Coco Bags</t>
  </si>
  <si>
    <t xml:space="preserve">         5020 - Total Packaging - COGS</t>
  </si>
  <si>
    <t xml:space="preserve">         5030 Shipping - COGS</t>
  </si>
  <si>
    <t xml:space="preserve">         5031 - Inbound Shipping</t>
  </si>
  <si>
    <t xml:space="preserve">         5021 Outbound Shipping</t>
  </si>
  <si>
    <t xml:space="preserve">         5030 Total Shipping - COGS </t>
  </si>
  <si>
    <t xml:space="preserve">      5040 Labour - COGS</t>
  </si>
  <si>
    <t xml:space="preserve">      5041 Production Labour - COGS</t>
  </si>
  <si>
    <t xml:space="preserve">      5042 Packaging Labour - COGS</t>
  </si>
  <si>
    <t xml:space="preserve">         5043 Subcontract T4A - COGS</t>
  </si>
  <si>
    <t xml:space="preserve">      Total 5040 Labour - COGS</t>
  </si>
  <si>
    <t>Total Raw Coco Supply - Resale</t>
  </si>
  <si>
    <t>Percent</t>
  </si>
  <si>
    <t>Drop this Channel</t>
  </si>
  <si>
    <t xml:space="preserve">Raise Price </t>
  </si>
  <si>
    <t xml:space="preserve">Increase Volume </t>
  </si>
  <si>
    <t>Residential</t>
  </si>
  <si>
    <t>Commercial</t>
  </si>
  <si>
    <t>Increase Volume</t>
  </si>
  <si>
    <t>Raise Price</t>
  </si>
  <si>
    <t>TOTAL INCOME</t>
  </si>
  <si>
    <t xml:space="preserve">     4050 Direct Sales - Number of Bars</t>
  </si>
  <si>
    <t>Percent Change</t>
  </si>
  <si>
    <t>Increase in Volume</t>
  </si>
  <si>
    <t>Wholesale Discount</t>
  </si>
  <si>
    <t>Increase in Retail Price</t>
  </si>
  <si>
    <t>Retail</t>
  </si>
  <si>
    <t>Wholesale</t>
  </si>
  <si>
    <t>Drop This Channel</t>
  </si>
  <si>
    <t>Ratios</t>
  </si>
  <si>
    <t>PURCHASE PRODUCTION MACHINE</t>
  </si>
  <si>
    <t>Machine Cost (installed)</t>
  </si>
  <si>
    <t>Reduction in Prod Labour</t>
  </si>
  <si>
    <t>Monthly Machine Financing</t>
  </si>
  <si>
    <t>5 years @ 8% interest</t>
  </si>
  <si>
    <t>New Prod Machine Payments</t>
  </si>
  <si>
    <t>New Machine Production Savings</t>
  </si>
  <si>
    <t>BREAK EVEN ANALYSIS</t>
  </si>
  <si>
    <t>Avg Monthly Income</t>
  </si>
  <si>
    <t>Avg Monthly GP</t>
  </si>
  <si>
    <t>Avg Montly NI</t>
  </si>
  <si>
    <t>Avg Monthly Exp</t>
  </si>
  <si>
    <t>BE Monthly Income</t>
  </si>
  <si>
    <t>BE Monthly GP</t>
  </si>
  <si>
    <t>BE Monthly Exp</t>
  </si>
  <si>
    <t>BE Monthly NI</t>
  </si>
  <si>
    <t>CAN'T DROP - MARKETING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</si>
</sst>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;[Red]\-&quot;$&quot;#,##0"/>
    <numFmt numFmtId="8" formatCode="&quot;$&quot;#,##0.00;[Red]\-&quot;$&quot;#,##0.00"/>
    <numFmt numFmtId="164" formatCode="&quot;$&quot;#,##0.00_);[Red]\(&quot;$&quot;#,##0.00\)"/>
    <numFmt numFmtId="165" formatCode="_(&quot;$&quot;* #,##0.00_);_(&quot;$&quot;* \(#,##0.00\);_(&quot;$&quot;* &quot;-&quot;??_);_(@_)"/>
    <numFmt numFmtId="166" formatCode="_(&quot;$&quot;* #,##0_);_(&quot;$&quot;* \(#,##0\);_(&quot;$&quot;* &quot;-&quot;??_);_(@_)"/>
    <numFmt numFmtId="167" formatCode="_-[$$-409]* #,##0_ ;_-[$$-409]* \-#,##0\ ;_-[$$-409]* &quot;-&quot;??_ ;_-@_ "/>
    <numFmt numFmtId="168" formatCode="_-[$$-409]* #,##0.00_ ;_-[$$-409]* \-#,##0.00\ ;_-[$$-409]* &quot;-&quot;??_ ;_-@_ "/>
  </numFmts>
  <fonts count="3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20"/>
      <color rgb="FF000000"/>
      <name val="Arial"/>
      <family val="2"/>
    </font>
    <font>
      <b/>
      <sz val="16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8"/>
      <color rgb="FF000000"/>
      <name val="Arial"/>
      <family val="2"/>
    </font>
    <font>
      <b/>
      <sz val="11"/>
      <color rgb="FF000000"/>
      <name val="Calibri"/>
      <family val="2"/>
    </font>
    <font>
      <b/>
      <sz val="14"/>
      <color rgb="FF000000"/>
      <name val="Arial"/>
      <family val="2"/>
    </font>
    <font>
      <sz val="12"/>
      <color rgb="FF000000"/>
      <name val="Calibri"/>
      <family val="2"/>
    </font>
    <font>
      <b/>
      <sz val="12"/>
      <color rgb="FFFF0000"/>
      <name val="Arial"/>
      <family val="2"/>
    </font>
    <font>
      <b/>
      <sz val="12"/>
      <color theme="1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2"/>
      <color rgb="FF000000"/>
      <name val="Calibri"/>
      <family val="2"/>
    </font>
    <font>
      <b/>
      <u/>
      <sz val="12"/>
      <color rgb="FF000000"/>
      <name val="Arial"/>
      <family val="2"/>
    </font>
    <font>
      <b/>
      <sz val="14"/>
      <color rgb="FF000000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8"/>
      <color rgb="FF000000"/>
      <name val="Calibri"/>
      <family val="2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0000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BF8F0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8">
    <xf numFmtId="0" fontId="0" fillId="0" borderId="0" xfId="0"/>
    <xf numFmtId="0" fontId="2" fillId="0" borderId="0" xfId="0" applyFont="1"/>
    <xf numFmtId="0" fontId="4" fillId="0" borderId="0" xfId="0" applyFont="1" applyAlignment="1">
      <alignment wrapText="1"/>
    </xf>
    <xf numFmtId="4" fontId="4" fillId="0" borderId="0" xfId="0" applyNumberFormat="1" applyFont="1" applyAlignment="1">
      <alignment wrapText="1"/>
    </xf>
    <xf numFmtId="4" fontId="2" fillId="0" borderId="0" xfId="0" applyNumberFormat="1" applyFont="1"/>
    <xf numFmtId="0" fontId="7" fillId="0" borderId="0" xfId="0" applyFont="1"/>
    <xf numFmtId="0" fontId="8" fillId="0" borderId="0" xfId="0" applyFont="1" applyAlignment="1">
      <alignment wrapText="1"/>
    </xf>
    <xf numFmtId="0" fontId="7" fillId="0" borderId="1" xfId="0" applyFont="1" applyBorder="1" applyAlignment="1">
      <alignment horizont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right" wrapText="1"/>
    </xf>
    <xf numFmtId="164" fontId="7" fillId="0" borderId="2" xfId="0" applyNumberFormat="1" applyFont="1" applyBorder="1" applyAlignment="1">
      <alignment horizontal="right" wrapText="1"/>
    </xf>
    <xf numFmtId="0" fontId="8" fillId="0" borderId="0" xfId="0" applyFont="1" applyAlignment="1">
      <alignment horizontal="right" wrapText="1"/>
    </xf>
    <xf numFmtId="0" fontId="8" fillId="0" borderId="0" xfId="0" applyFont="1"/>
    <xf numFmtId="0" fontId="7" fillId="0" borderId="0" xfId="0" applyFont="1" applyAlignment="1">
      <alignment wrapText="1"/>
    </xf>
    <xf numFmtId="164" fontId="7" fillId="0" borderId="0" xfId="0" applyNumberFormat="1" applyFont="1" applyAlignment="1">
      <alignment horizontal="right" wrapText="1"/>
    </xf>
    <xf numFmtId="0" fontId="7" fillId="4" borderId="0" xfId="0" applyFont="1" applyFill="1" applyAlignment="1">
      <alignment horizontal="left" wrapText="1"/>
    </xf>
    <xf numFmtId="9" fontId="7" fillId="0" borderId="0" xfId="0" applyNumberFormat="1" applyFont="1" applyAlignment="1">
      <alignment horizontal="right" wrapText="1"/>
    </xf>
    <xf numFmtId="4" fontId="8" fillId="0" borderId="0" xfId="0" applyNumberFormat="1" applyFont="1" applyAlignment="1">
      <alignment horizontal="right" wrapText="1"/>
    </xf>
    <xf numFmtId="4" fontId="8" fillId="0" borderId="0" xfId="0" applyNumberFormat="1" applyFont="1" applyAlignment="1">
      <alignment wrapText="1"/>
    </xf>
    <xf numFmtId="9" fontId="7" fillId="0" borderId="0" xfId="0" applyNumberFormat="1" applyFont="1" applyAlignment="1">
      <alignment wrapText="1"/>
    </xf>
    <xf numFmtId="16" fontId="7" fillId="0" borderId="1" xfId="0" applyNumberFormat="1" applyFont="1" applyBorder="1" applyAlignment="1">
      <alignment horizontal="center" wrapText="1"/>
    </xf>
    <xf numFmtId="1" fontId="8" fillId="0" borderId="0" xfId="0" applyNumberFormat="1" applyFont="1" applyAlignment="1">
      <alignment horizontal="right" wrapText="1"/>
    </xf>
    <xf numFmtId="1" fontId="8" fillId="0" borderId="0" xfId="0" applyNumberFormat="1" applyFont="1" applyAlignment="1">
      <alignment wrapText="1"/>
    </xf>
    <xf numFmtId="1" fontId="7" fillId="0" borderId="0" xfId="0" applyNumberFormat="1" applyFont="1" applyAlignment="1">
      <alignment horizontal="right" wrapText="1"/>
    </xf>
    <xf numFmtId="166" fontId="8" fillId="0" borderId="0" xfId="1" applyNumberFormat="1" applyFont="1" applyAlignment="1">
      <alignment horizontal="right" wrapText="1"/>
    </xf>
    <xf numFmtId="166" fontId="7" fillId="0" borderId="2" xfId="1" applyNumberFormat="1" applyFont="1" applyBorder="1" applyAlignment="1">
      <alignment horizontal="right" wrapText="1"/>
    </xf>
    <xf numFmtId="9" fontId="8" fillId="0" borderId="0" xfId="0" applyNumberFormat="1" applyFont="1"/>
    <xf numFmtId="166" fontId="7" fillId="0" borderId="0" xfId="1" applyNumberFormat="1" applyFont="1" applyBorder="1" applyAlignment="1">
      <alignment horizontal="right" wrapText="1"/>
    </xf>
    <xf numFmtId="166" fontId="2" fillId="0" borderId="0" xfId="0" applyNumberFormat="1" applyFont="1"/>
    <xf numFmtId="0" fontId="7" fillId="5" borderId="0" xfId="0" applyFont="1" applyFill="1" applyAlignment="1">
      <alignment horizontal="left" wrapText="1"/>
    </xf>
    <xf numFmtId="167" fontId="7" fillId="0" borderId="3" xfId="0" applyNumberFormat="1" applyFont="1" applyBorder="1" applyAlignment="1">
      <alignment wrapText="1"/>
    </xf>
    <xf numFmtId="167" fontId="7" fillId="0" borderId="3" xfId="1" applyNumberFormat="1" applyFont="1" applyBorder="1" applyAlignment="1">
      <alignment horizontal="right" wrapText="1"/>
    </xf>
    <xf numFmtId="0" fontId="8" fillId="5" borderId="0" xfId="0" applyFont="1" applyFill="1"/>
    <xf numFmtId="9" fontId="8" fillId="5" borderId="0" xfId="0" applyNumberFormat="1" applyFont="1" applyFill="1"/>
    <xf numFmtId="0" fontId="8" fillId="4" borderId="0" xfId="0" applyFont="1" applyFill="1"/>
    <xf numFmtId="10" fontId="8" fillId="5" borderId="0" xfId="0" applyNumberFormat="1" applyFont="1" applyFill="1"/>
    <xf numFmtId="9" fontId="2" fillId="0" borderId="0" xfId="0" applyNumberFormat="1" applyFont="1"/>
    <xf numFmtId="1" fontId="2" fillId="0" borderId="0" xfId="0" applyNumberFormat="1" applyFont="1"/>
    <xf numFmtId="0" fontId="10" fillId="0" borderId="0" xfId="0" applyFont="1"/>
    <xf numFmtId="0" fontId="7" fillId="0" borderId="1" xfId="0" applyFont="1" applyBorder="1" applyAlignment="1">
      <alignment wrapText="1"/>
    </xf>
    <xf numFmtId="16" fontId="7" fillId="0" borderId="1" xfId="0" applyNumberFormat="1" applyFont="1" applyBorder="1" applyAlignment="1">
      <alignment wrapText="1"/>
    </xf>
    <xf numFmtId="0" fontId="11" fillId="0" borderId="0" xfId="0" applyFont="1" applyAlignment="1">
      <alignment wrapText="1"/>
    </xf>
    <xf numFmtId="0" fontId="12" fillId="2" borderId="0" xfId="0" applyFont="1" applyFill="1"/>
    <xf numFmtId="6" fontId="8" fillId="0" borderId="0" xfId="0" applyNumberFormat="1" applyFont="1" applyAlignment="1">
      <alignment wrapText="1"/>
    </xf>
    <xf numFmtId="4" fontId="10" fillId="0" borderId="0" xfId="0" applyNumberFormat="1" applyFont="1"/>
    <xf numFmtId="0" fontId="7" fillId="0" borderId="2" xfId="0" applyFont="1" applyBorder="1" applyAlignment="1">
      <alignment wrapText="1"/>
    </xf>
    <xf numFmtId="6" fontId="7" fillId="0" borderId="2" xfId="0" applyNumberFormat="1" applyFont="1" applyBorder="1" applyAlignment="1">
      <alignment wrapText="1"/>
    </xf>
    <xf numFmtId="0" fontId="7" fillId="3" borderId="0" xfId="0" applyFont="1" applyFill="1" applyAlignment="1">
      <alignment wrapText="1"/>
    </xf>
    <xf numFmtId="0" fontId="13" fillId="0" borderId="0" xfId="0" applyFont="1" applyAlignment="1">
      <alignment wrapText="1"/>
    </xf>
    <xf numFmtId="6" fontId="7" fillId="0" borderId="0" xfId="0" applyNumberFormat="1" applyFont="1" applyAlignment="1">
      <alignment wrapText="1"/>
    </xf>
    <xf numFmtId="0" fontId="7" fillId="2" borderId="0" xfId="0" applyFont="1" applyFill="1" applyAlignment="1">
      <alignment wrapText="1"/>
    </xf>
    <xf numFmtId="9" fontId="7" fillId="2" borderId="0" xfId="0" applyNumberFormat="1" applyFont="1" applyFill="1" applyAlignment="1">
      <alignment wrapText="1"/>
    </xf>
    <xf numFmtId="0" fontId="14" fillId="0" borderId="0" xfId="0" applyFont="1"/>
    <xf numFmtId="8" fontId="7" fillId="0" borderId="2" xfId="0" applyNumberFormat="1" applyFont="1" applyBorder="1" applyAlignment="1">
      <alignment wrapText="1"/>
    </xf>
    <xf numFmtId="8" fontId="15" fillId="0" borderId="2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2" xfId="0" applyFont="1" applyBorder="1" applyAlignment="1">
      <alignment wrapText="1"/>
    </xf>
    <xf numFmtId="9" fontId="7" fillId="3" borderId="0" xfId="0" applyNumberFormat="1" applyFont="1" applyFill="1" applyAlignment="1">
      <alignment wrapText="1"/>
    </xf>
    <xf numFmtId="0" fontId="7" fillId="6" borderId="0" xfId="0" applyFont="1" applyFill="1" applyAlignment="1">
      <alignment horizontal="left" wrapText="1"/>
    </xf>
    <xf numFmtId="167" fontId="2" fillId="0" borderId="0" xfId="0" applyNumberFormat="1" applyFont="1"/>
    <xf numFmtId="167" fontId="8" fillId="0" borderId="0" xfId="0" applyNumberFormat="1" applyFont="1" applyAlignment="1">
      <alignment horizontal="right" wrapText="1"/>
    </xf>
    <xf numFmtId="167" fontId="8" fillId="0" borderId="0" xfId="0" applyNumberFormat="1" applyFont="1" applyAlignment="1">
      <alignment wrapText="1"/>
    </xf>
    <xf numFmtId="167" fontId="8" fillId="0" borderId="0" xfId="1" applyNumberFormat="1" applyFont="1" applyAlignment="1">
      <alignment horizontal="right" wrapText="1"/>
    </xf>
    <xf numFmtId="1" fontId="8" fillId="0" borderId="0" xfId="0" applyNumberFormat="1" applyFont="1" applyAlignment="1">
      <alignment horizontal="left" wrapText="1"/>
    </xf>
    <xf numFmtId="9" fontId="7" fillId="0" borderId="4" xfId="0" applyNumberFormat="1" applyFont="1" applyBorder="1" applyAlignment="1">
      <alignment wrapText="1"/>
    </xf>
    <xf numFmtId="0" fontId="7" fillId="7" borderId="0" xfId="0" applyFont="1" applyFill="1" applyAlignment="1">
      <alignment horizontal="left" wrapText="1"/>
    </xf>
    <xf numFmtId="0" fontId="9" fillId="6" borderId="0" xfId="0" applyFont="1" applyFill="1"/>
    <xf numFmtId="168" fontId="9" fillId="6" borderId="0" xfId="0" applyNumberFormat="1" applyFont="1" applyFill="1"/>
    <xf numFmtId="165" fontId="9" fillId="6" borderId="0" xfId="0" applyNumberFormat="1" applyFont="1" applyFill="1"/>
    <xf numFmtId="9" fontId="7" fillId="4" borderId="0" xfId="0" applyNumberFormat="1" applyFont="1" applyFill="1"/>
    <xf numFmtId="0" fontId="7" fillId="6" borderId="0" xfId="0" applyFont="1" applyFill="1"/>
    <xf numFmtId="0" fontId="7" fillId="5" borderId="0" xfId="0" applyFont="1" applyFill="1" applyAlignment="1">
      <alignment horizontal="left"/>
    </xf>
    <xf numFmtId="0" fontId="0" fillId="5" borderId="0" xfId="0" applyFill="1"/>
    <xf numFmtId="0" fontId="7" fillId="9" borderId="0" xfId="0" applyFont="1" applyFill="1" applyAlignment="1">
      <alignment horizontal="left" wrapText="1"/>
    </xf>
    <xf numFmtId="1" fontId="8" fillId="9" borderId="0" xfId="0" applyNumberFormat="1" applyFont="1" applyFill="1" applyAlignment="1">
      <alignment wrapText="1"/>
    </xf>
    <xf numFmtId="1" fontId="8" fillId="9" borderId="0" xfId="0" applyNumberFormat="1" applyFont="1" applyFill="1" applyAlignment="1">
      <alignment horizontal="right" wrapText="1"/>
    </xf>
    <xf numFmtId="0" fontId="7" fillId="10" borderId="0" xfId="0" applyFont="1" applyFill="1" applyAlignment="1">
      <alignment horizontal="left" wrapText="1"/>
    </xf>
    <xf numFmtId="166" fontId="7" fillId="10" borderId="2" xfId="1" applyNumberFormat="1" applyFont="1" applyFill="1" applyBorder="1" applyAlignment="1">
      <alignment horizontal="right" wrapText="1"/>
    </xf>
    <xf numFmtId="0" fontId="7" fillId="10" borderId="0" xfId="0" applyFont="1" applyFill="1" applyAlignment="1">
      <alignment horizontal="left"/>
    </xf>
    <xf numFmtId="1" fontId="8" fillId="10" borderId="0" xfId="0" applyNumberFormat="1" applyFont="1" applyFill="1" applyAlignment="1">
      <alignment wrapText="1"/>
    </xf>
    <xf numFmtId="1" fontId="8" fillId="10" borderId="0" xfId="0" applyNumberFormat="1" applyFont="1" applyFill="1" applyAlignment="1">
      <alignment horizontal="right" wrapText="1"/>
    </xf>
    <xf numFmtId="166" fontId="8" fillId="10" borderId="0" xfId="1" applyNumberFormat="1" applyFont="1" applyFill="1" applyAlignment="1">
      <alignment horizontal="right" wrapText="1"/>
    </xf>
    <xf numFmtId="166" fontId="8" fillId="9" borderId="0" xfId="1" applyNumberFormat="1" applyFont="1" applyFill="1" applyAlignment="1">
      <alignment horizontal="right" wrapText="1"/>
    </xf>
    <xf numFmtId="0" fontId="6" fillId="0" borderId="0" xfId="0" applyFont="1" applyAlignment="1">
      <alignment horizontal="left" wrapText="1"/>
    </xf>
    <xf numFmtId="167" fontId="7" fillId="0" borderId="5" xfId="0" applyNumberFormat="1" applyFont="1" applyBorder="1" applyAlignment="1">
      <alignment wrapText="1"/>
    </xf>
    <xf numFmtId="9" fontId="16" fillId="4" borderId="5" xfId="0" applyNumberFormat="1" applyFont="1" applyFill="1" applyBorder="1"/>
    <xf numFmtId="9" fontId="7" fillId="4" borderId="4" xfId="0" applyNumberFormat="1" applyFont="1" applyFill="1" applyBorder="1" applyAlignment="1">
      <alignment wrapText="1"/>
    </xf>
    <xf numFmtId="0" fontId="7" fillId="11" borderId="0" xfId="0" applyFont="1" applyFill="1" applyAlignment="1">
      <alignment horizontal="left" wrapText="1"/>
    </xf>
    <xf numFmtId="0" fontId="7" fillId="12" borderId="0" xfId="0" applyFont="1" applyFill="1" applyAlignment="1">
      <alignment horizontal="left" wrapText="1"/>
    </xf>
    <xf numFmtId="166" fontId="16" fillId="0" borderId="5" xfId="0" applyNumberFormat="1" applyFont="1" applyBorder="1"/>
    <xf numFmtId="0" fontId="18" fillId="2" borderId="0" xfId="0" applyFont="1" applyFill="1"/>
    <xf numFmtId="4" fontId="7" fillId="0" borderId="2" xfId="0" applyNumberFormat="1" applyFont="1" applyBorder="1" applyAlignment="1">
      <alignment horizontal="right" wrapText="1"/>
    </xf>
    <xf numFmtId="165" fontId="7" fillId="0" borderId="2" xfId="1" applyFont="1" applyBorder="1" applyAlignment="1">
      <alignment horizontal="right" wrapText="1"/>
    </xf>
    <xf numFmtId="9" fontId="7" fillId="0" borderId="0" xfId="2" applyFont="1" applyAlignment="1">
      <alignment wrapText="1"/>
    </xf>
    <xf numFmtId="0" fontId="7" fillId="8" borderId="0" xfId="0" applyFont="1" applyFill="1"/>
    <xf numFmtId="0" fontId="8" fillId="8" borderId="0" xfId="0" applyFont="1" applyFill="1"/>
    <xf numFmtId="0" fontId="6" fillId="8" borderId="0" xfId="0" applyFont="1" applyFill="1"/>
    <xf numFmtId="0" fontId="7" fillId="0" borderId="2" xfId="0" applyFont="1" applyBorder="1" applyAlignment="1">
      <alignment horizontal="right" wrapText="1"/>
    </xf>
    <xf numFmtId="167" fontId="8" fillId="0" borderId="0" xfId="1" applyNumberFormat="1" applyFont="1" applyFill="1" applyAlignment="1">
      <alignment horizontal="right" wrapText="1"/>
    </xf>
    <xf numFmtId="167" fontId="7" fillId="0" borderId="2" xfId="1" applyNumberFormat="1" applyFont="1" applyFill="1" applyBorder="1" applyAlignment="1">
      <alignment horizontal="right" wrapText="1"/>
    </xf>
    <xf numFmtId="167" fontId="7" fillId="0" borderId="2" xfId="1" applyNumberFormat="1" applyFont="1" applyBorder="1" applyAlignment="1">
      <alignment horizontal="right" wrapText="1"/>
    </xf>
    <xf numFmtId="167" fontId="8" fillId="0" borderId="0" xfId="0" applyNumberFormat="1" applyFont="1"/>
    <xf numFmtId="167" fontId="7" fillId="0" borderId="0" xfId="0" applyNumberFormat="1" applyFont="1" applyAlignment="1">
      <alignment wrapText="1"/>
    </xf>
    <xf numFmtId="0" fontId="7" fillId="0" borderId="6" xfId="0" applyFont="1" applyBorder="1" applyAlignment="1">
      <alignment horizontal="right" wrapText="1"/>
    </xf>
    <xf numFmtId="0" fontId="19" fillId="0" borderId="0" xfId="0" applyFont="1" applyAlignment="1">
      <alignment horizontal="right" wrapText="1"/>
    </xf>
    <xf numFmtId="165" fontId="8" fillId="0" borderId="0" xfId="1" applyFont="1" applyBorder="1" applyAlignment="1">
      <alignment horizontal="right" wrapText="1"/>
    </xf>
    <xf numFmtId="0" fontId="17" fillId="8" borderId="0" xfId="0" applyFont="1" applyFill="1"/>
    <xf numFmtId="0" fontId="2" fillId="8" borderId="0" xfId="0" applyFont="1" applyFill="1"/>
    <xf numFmtId="166" fontId="9" fillId="6" borderId="0" xfId="0" applyNumberFormat="1" applyFont="1" applyFill="1"/>
    <xf numFmtId="9" fontId="9" fillId="6" borderId="0" xfId="0" applyNumberFormat="1" applyFont="1" applyFill="1"/>
    <xf numFmtId="167" fontId="9" fillId="6" borderId="0" xfId="0" applyNumberFormat="1" applyFont="1" applyFill="1"/>
    <xf numFmtId="164" fontId="2" fillId="0" borderId="0" xfId="0" applyNumberFormat="1" applyFont="1"/>
    <xf numFmtId="0" fontId="6" fillId="0" borderId="0" xfId="0" applyFont="1"/>
    <xf numFmtId="166" fontId="7" fillId="0" borderId="0" xfId="1" applyNumberFormat="1" applyFont="1" applyAlignment="1">
      <alignment wrapText="1"/>
    </xf>
    <xf numFmtId="166" fontId="7" fillId="0" borderId="2" xfId="1" applyNumberFormat="1" applyFont="1" applyBorder="1" applyAlignment="1">
      <alignment wrapText="1"/>
    </xf>
    <xf numFmtId="0" fontId="12" fillId="0" borderId="0" xfId="0" applyFont="1"/>
    <xf numFmtId="9" fontId="12" fillId="0" borderId="0" xfId="2" applyFont="1"/>
    <xf numFmtId="0" fontId="18" fillId="0" borderId="0" xfId="0" applyFont="1"/>
    <xf numFmtId="9" fontId="20" fillId="4" borderId="0" xfId="2" applyFont="1" applyFill="1"/>
    <xf numFmtId="9" fontId="11" fillId="0" borderId="0" xfId="0" applyNumberFormat="1" applyFont="1" applyAlignment="1">
      <alignment wrapText="1"/>
    </xf>
    <xf numFmtId="0" fontId="20" fillId="0" borderId="0" xfId="0" applyFont="1"/>
    <xf numFmtId="8" fontId="22" fillId="0" borderId="2" xfId="0" applyNumberFormat="1" applyFont="1" applyBorder="1" applyAlignment="1">
      <alignment wrapText="1"/>
    </xf>
    <xf numFmtId="9" fontId="20" fillId="14" borderId="0" xfId="2" applyFont="1" applyFill="1"/>
    <xf numFmtId="1" fontId="7" fillId="0" borderId="0" xfId="0" applyNumberFormat="1" applyFont="1" applyAlignment="1">
      <alignment wrapText="1"/>
    </xf>
    <xf numFmtId="9" fontId="20" fillId="8" borderId="0" xfId="2" applyFont="1" applyFill="1"/>
    <xf numFmtId="0" fontId="11" fillId="3" borderId="0" xfId="0" applyFont="1" applyFill="1" applyAlignment="1">
      <alignment wrapText="1"/>
    </xf>
    <xf numFmtId="9" fontId="23" fillId="0" borderId="5" xfId="0" applyNumberFormat="1" applyFont="1" applyBorder="1"/>
    <xf numFmtId="9" fontId="6" fillId="0" borderId="0" xfId="2" applyFont="1" applyAlignment="1">
      <alignment wrapText="1"/>
    </xf>
    <xf numFmtId="9" fontId="7" fillId="0" borderId="0" xfId="0" applyNumberFormat="1" applyFont="1"/>
    <xf numFmtId="0" fontId="24" fillId="0" borderId="0" xfId="0" applyFont="1"/>
    <xf numFmtId="0" fontId="9" fillId="0" borderId="0" xfId="0" applyFont="1"/>
    <xf numFmtId="0" fontId="25" fillId="0" borderId="0" xfId="0" applyFont="1"/>
    <xf numFmtId="0" fontId="16" fillId="0" borderId="0" xfId="0" applyFont="1"/>
    <xf numFmtId="0" fontId="26" fillId="0" borderId="0" xfId="0" applyFont="1"/>
    <xf numFmtId="1" fontId="26" fillId="0" borderId="0" xfId="0" applyNumberFormat="1" applyFont="1"/>
    <xf numFmtId="0" fontId="27" fillId="0" borderId="0" xfId="0" applyFont="1"/>
    <xf numFmtId="0" fontId="9" fillId="14" borderId="0" xfId="0" applyFont="1" applyFill="1"/>
    <xf numFmtId="168" fontId="9" fillId="14" borderId="0" xfId="0" applyNumberFormat="1" applyFont="1" applyFill="1"/>
    <xf numFmtId="9" fontId="9" fillId="6" borderId="0" xfId="2" applyFont="1" applyFill="1"/>
    <xf numFmtId="165" fontId="9" fillId="0" borderId="0" xfId="0" applyNumberFormat="1" applyFont="1"/>
    <xf numFmtId="166" fontId="9" fillId="0" borderId="0" xfId="0" applyNumberFormat="1" applyFont="1"/>
    <xf numFmtId="9" fontId="9" fillId="0" borderId="0" xfId="0" applyNumberFormat="1" applyFont="1"/>
    <xf numFmtId="167" fontId="9" fillId="0" borderId="0" xfId="0" applyNumberFormat="1" applyFont="1"/>
    <xf numFmtId="9" fontId="7" fillId="5" borderId="0" xfId="0" applyNumberFormat="1" applyFont="1" applyFill="1"/>
    <xf numFmtId="9" fontId="7" fillId="14" borderId="0" xfId="0" applyNumberFormat="1" applyFont="1" applyFill="1"/>
    <xf numFmtId="1" fontId="28" fillId="0" borderId="1" xfId="0" applyNumberFormat="1" applyFont="1" applyBorder="1"/>
    <xf numFmtId="0" fontId="28" fillId="0" borderId="1" xfId="0" applyFont="1" applyBorder="1"/>
    <xf numFmtId="0" fontId="13" fillId="5" borderId="0" xfId="0" applyFont="1" applyFill="1" applyAlignment="1">
      <alignment horizontal="left" wrapText="1"/>
    </xf>
    <xf numFmtId="166" fontId="13" fillId="0" borderId="2" xfId="1" applyNumberFormat="1" applyFont="1" applyBorder="1" applyAlignment="1">
      <alignment horizontal="right" wrapText="1"/>
    </xf>
    <xf numFmtId="167" fontId="13" fillId="0" borderId="2" xfId="1" applyNumberFormat="1" applyFont="1" applyBorder="1" applyAlignment="1">
      <alignment horizontal="right" wrapText="1"/>
    </xf>
    <xf numFmtId="9" fontId="7" fillId="4" borderId="0" xfId="2" applyFont="1" applyFill="1"/>
    <xf numFmtId="9" fontId="16" fillId="4" borderId="0" xfId="2" applyFont="1" applyFill="1"/>
    <xf numFmtId="9" fontId="7" fillId="8" borderId="0" xfId="2" applyFont="1" applyFill="1"/>
    <xf numFmtId="9" fontId="9" fillId="0" borderId="0" xfId="2" applyFont="1"/>
    <xf numFmtId="166" fontId="9" fillId="0" borderId="0" xfId="1" applyNumberFormat="1" applyFont="1"/>
    <xf numFmtId="166" fontId="16" fillId="0" borderId="0" xfId="1" applyNumberFormat="1" applyFont="1"/>
    <xf numFmtId="166" fontId="7" fillId="0" borderId="0" xfId="0" applyNumberFormat="1" applyFont="1" applyAlignment="1">
      <alignment horizontal="right" wrapText="1"/>
    </xf>
    <xf numFmtId="0" fontId="26" fillId="13" borderId="0" xfId="0" applyFont="1" applyFill="1"/>
    <xf numFmtId="0" fontId="7" fillId="13" borderId="0" xfId="0" applyFont="1" applyFill="1" applyAlignment="1">
      <alignment horizontal="left" wrapText="1"/>
    </xf>
    <xf numFmtId="1" fontId="8" fillId="13" borderId="0" xfId="0" applyNumberFormat="1" applyFont="1" applyFill="1" applyAlignment="1">
      <alignment wrapText="1"/>
    </xf>
    <xf numFmtId="1" fontId="8" fillId="13" borderId="0" xfId="0" applyNumberFormat="1" applyFont="1" applyFill="1" applyAlignment="1">
      <alignment horizontal="right" wrapText="1"/>
    </xf>
    <xf numFmtId="166" fontId="8" fillId="13" borderId="0" xfId="1" applyNumberFormat="1" applyFont="1" applyFill="1" applyAlignment="1">
      <alignment horizontal="right" wrapText="1"/>
    </xf>
    <xf numFmtId="0" fontId="26" fillId="4" borderId="0" xfId="0" applyFont="1" applyFill="1"/>
    <xf numFmtId="0" fontId="16" fillId="4" borderId="0" xfId="0" applyFont="1" applyFill="1"/>
    <xf numFmtId="0" fontId="26" fillId="14" borderId="0" xfId="0" applyFont="1" applyFill="1"/>
    <xf numFmtId="0" fontId="26" fillId="8" borderId="0" xfId="0" applyFont="1" applyFill="1"/>
    <xf numFmtId="0" fontId="20" fillId="8" borderId="0" xfId="0" applyFont="1" applyFill="1"/>
    <xf numFmtId="0" fontId="20" fillId="14" borderId="0" xfId="0" applyFont="1" applyFill="1"/>
    <xf numFmtId="0" fontId="20" fillId="4" borderId="0" xfId="0" applyFont="1" applyFill="1"/>
    <xf numFmtId="9" fontId="21" fillId="14" borderId="0" xfId="2" applyFont="1" applyFill="1"/>
    <xf numFmtId="166" fontId="7" fillId="0" borderId="0" xfId="1" applyNumberFormat="1" applyFont="1" applyFill="1" applyAlignment="1">
      <alignment wrapText="1"/>
    </xf>
    <xf numFmtId="1" fontId="7" fillId="0" borderId="0" xfId="1" applyNumberFormat="1" applyFont="1" applyFill="1" applyAlignment="1">
      <alignment wrapText="1"/>
    </xf>
    <xf numFmtId="166" fontId="7" fillId="0" borderId="2" xfId="1" applyNumberFormat="1" applyFont="1" applyFill="1" applyBorder="1" applyAlignment="1">
      <alignment wrapText="1"/>
    </xf>
    <xf numFmtId="0" fontId="14" fillId="8" borderId="0" xfId="0" applyFont="1" applyFill="1"/>
    <xf numFmtId="0" fontId="20" fillId="13" borderId="0" xfId="0" applyFont="1" applyFill="1"/>
    <xf numFmtId="165" fontId="12" fillId="0" borderId="0" xfId="0" applyNumberFormat="1" applyFont="1"/>
    <xf numFmtId="164" fontId="12" fillId="0" borderId="0" xfId="0" applyNumberFormat="1" applyFont="1"/>
    <xf numFmtId="0" fontId="29" fillId="0" borderId="0" xfId="0" applyFont="1"/>
    <xf numFmtId="164" fontId="16" fillId="0" borderId="0" xfId="0" applyNumberFormat="1" applyFont="1"/>
    <xf numFmtId="165" fontId="12" fillId="0" borderId="0" xfId="1" applyFont="1"/>
    <xf numFmtId="0" fontId="30" fillId="13" borderId="0" xfId="0" applyFont="1" applyFill="1"/>
    <xf numFmtId="9" fontId="30" fillId="13" borderId="0" xfId="0" applyNumberFormat="1" applyFont="1" applyFill="1"/>
    <xf numFmtId="0" fontId="5" fillId="0" borderId="0" xfId="0" applyFont="1"/>
    <xf numFmtId="0" fontId="6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7F3B6-D18A-4DE5-925B-6246030045EB}">
  <dimension ref="A1:AA177"/>
  <sheetViews>
    <sheetView zoomScale="120" zoomScaleNormal="120" workbookViewId="0">
      <pane xSplit="1" ySplit="4" topLeftCell="J40" activePane="bottomRight" state="frozen"/>
      <selection pane="topRight"/>
      <selection pane="bottomLeft"/>
      <selection pane="bottomRight" activeCell="G180" sqref="G180"/>
    </sheetView>
  </sheetViews>
  <sheetFormatPr defaultColWidth="11" defaultRowHeight="15.75" x14ac:dyDescent="0.25"/>
  <cols>
    <col min="1" max="1" width="44.625" customWidth="1"/>
    <col min="2" max="2" width="11.375" customWidth="1"/>
    <col min="3" max="5" width="12.5" bestFit="1" customWidth="1"/>
    <col min="6" max="6" width="12.625" bestFit="1" customWidth="1"/>
    <col min="7" max="10" width="12.5" bestFit="1" customWidth="1"/>
    <col min="11" max="13" width="12.625" bestFit="1" customWidth="1"/>
    <col min="14" max="14" width="13.625" bestFit="1" customWidth="1"/>
    <col min="15" max="15" width="3" customWidth="1"/>
    <col min="16" max="16" width="7.875" customWidth="1"/>
    <col min="17" max="17" width="21.875" customWidth="1"/>
    <col min="18" max="18" width="1.375" customWidth="1"/>
  </cols>
  <sheetData>
    <row r="1" spans="1:27" ht="30.95" customHeight="1" x14ac:dyDescent="0.4">
      <c r="A1" s="182" t="s">
        <v>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</row>
    <row r="2" spans="1:27" ht="20.100000000000001" customHeight="1" x14ac:dyDescent="0.3">
      <c r="A2" s="183" t="s">
        <v>1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</row>
    <row r="3" spans="1:27" ht="20.25" x14ac:dyDescent="0.3">
      <c r="A3" s="12"/>
      <c r="B3" s="96" t="s">
        <v>2</v>
      </c>
      <c r="C3" s="94"/>
      <c r="D3" s="94"/>
      <c r="E3" s="94"/>
      <c r="F3" s="95"/>
      <c r="G3" s="95"/>
      <c r="H3" s="95"/>
      <c r="I3" s="12"/>
      <c r="J3" s="12"/>
      <c r="K3" s="12"/>
      <c r="L3" s="12"/>
      <c r="M3" s="12"/>
      <c r="N3" s="12"/>
      <c r="O3" s="12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</row>
    <row r="4" spans="1:27" x14ac:dyDescent="0.25">
      <c r="A4" s="6"/>
      <c r="B4" s="39" t="s">
        <v>3</v>
      </c>
      <c r="C4" s="40">
        <v>45068</v>
      </c>
      <c r="D4" s="39" t="s">
        <v>4</v>
      </c>
      <c r="E4" s="39" t="s">
        <v>5</v>
      </c>
      <c r="F4" s="39" t="s">
        <v>6</v>
      </c>
      <c r="G4" s="39" t="s">
        <v>7</v>
      </c>
      <c r="H4" s="39" t="s">
        <v>8</v>
      </c>
      <c r="I4" s="39" t="s">
        <v>9</v>
      </c>
      <c r="J4" s="39" t="s">
        <v>10</v>
      </c>
      <c r="K4" s="39" t="s">
        <v>11</v>
      </c>
      <c r="L4" s="39" t="s">
        <v>12</v>
      </c>
      <c r="M4" s="39" t="s">
        <v>13</v>
      </c>
      <c r="N4" s="39" t="s">
        <v>14</v>
      </c>
      <c r="O4" s="12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</row>
    <row r="5" spans="1:27" ht="23.25" x14ac:dyDescent="0.35">
      <c r="A5" s="41" t="s">
        <v>15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12"/>
      <c r="P5" s="115" t="s">
        <v>234</v>
      </c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</row>
    <row r="6" spans="1:27" x14ac:dyDescent="0.25">
      <c r="A6" s="13" t="s">
        <v>16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12"/>
      <c r="P6" s="115"/>
      <c r="Q6" s="38"/>
      <c r="R6" s="38"/>
      <c r="S6" s="42" t="s">
        <v>17</v>
      </c>
      <c r="T6" s="38" t="s">
        <v>18</v>
      </c>
      <c r="U6" s="38" t="s">
        <v>19</v>
      </c>
      <c r="V6" s="38" t="s">
        <v>20</v>
      </c>
      <c r="W6" s="38" t="s">
        <v>21</v>
      </c>
      <c r="X6" s="38" t="s">
        <v>22</v>
      </c>
      <c r="Y6" s="38"/>
      <c r="Z6" s="38" t="s">
        <v>23</v>
      </c>
      <c r="AA6" s="38"/>
    </row>
    <row r="7" spans="1:27" x14ac:dyDescent="0.25">
      <c r="A7" s="13" t="s">
        <v>24</v>
      </c>
      <c r="B7" s="6">
        <v>2101</v>
      </c>
      <c r="C7" s="6">
        <v>1576</v>
      </c>
      <c r="D7" s="6">
        <v>2626</v>
      </c>
      <c r="E7" s="6">
        <v>5253</v>
      </c>
      <c r="F7" s="6">
        <v>5778</v>
      </c>
      <c r="G7" s="6">
        <v>4202</v>
      </c>
      <c r="H7" s="6">
        <v>2101</v>
      </c>
      <c r="I7" s="6">
        <v>1576</v>
      </c>
      <c r="J7" s="6">
        <v>5253</v>
      </c>
      <c r="K7" s="6">
        <v>5778</v>
      </c>
      <c r="L7" s="6">
        <v>9455</v>
      </c>
      <c r="M7" s="6">
        <v>6829</v>
      </c>
      <c r="N7" s="49">
        <f>SUM(B7:M7)</f>
        <v>52528</v>
      </c>
      <c r="O7" s="12"/>
      <c r="P7" s="115"/>
      <c r="Q7" s="38"/>
      <c r="R7" s="38"/>
      <c r="S7" s="51">
        <v>0.5</v>
      </c>
      <c r="T7" s="38">
        <v>2497.645</v>
      </c>
      <c r="U7" s="38">
        <v>3001.1350000000002</v>
      </c>
      <c r="V7" s="44">
        <v>27735.49</v>
      </c>
      <c r="W7" s="38"/>
      <c r="X7" s="38"/>
      <c r="Y7" s="38"/>
      <c r="Z7" s="38">
        <v>33234.269999999997</v>
      </c>
      <c r="AA7" s="38"/>
    </row>
    <row r="8" spans="1:27" x14ac:dyDescent="0.25">
      <c r="A8" s="13" t="s">
        <v>25</v>
      </c>
      <c r="B8" s="6">
        <v>946</v>
      </c>
      <c r="C8" s="6">
        <v>998</v>
      </c>
      <c r="D8" s="6">
        <v>630</v>
      </c>
      <c r="E8" s="6">
        <v>420</v>
      </c>
      <c r="F8" s="6">
        <v>368</v>
      </c>
      <c r="G8" s="6">
        <v>1103</v>
      </c>
      <c r="H8" s="6">
        <v>1156</v>
      </c>
      <c r="I8" s="6">
        <v>1576</v>
      </c>
      <c r="J8" s="6">
        <v>1313</v>
      </c>
      <c r="K8" s="6">
        <v>735</v>
      </c>
      <c r="L8" s="6">
        <v>578</v>
      </c>
      <c r="M8" s="6">
        <v>683</v>
      </c>
      <c r="N8" s="49">
        <f t="shared" ref="N8:N10" si="0">SUM(B8:M8)</f>
        <v>10506</v>
      </c>
      <c r="O8" s="12"/>
      <c r="P8" s="116">
        <v>1</v>
      </c>
      <c r="Q8" s="38"/>
      <c r="R8" s="38"/>
      <c r="S8" s="51">
        <v>0.1</v>
      </c>
      <c r="T8" s="38">
        <v>499.529</v>
      </c>
      <c r="U8" s="38">
        <v>600.22699999999998</v>
      </c>
      <c r="V8" s="44">
        <v>10400.51</v>
      </c>
      <c r="W8" s="38"/>
      <c r="X8" s="38"/>
      <c r="Y8" s="38"/>
      <c r="Z8" s="38">
        <v>11500.263000000001</v>
      </c>
      <c r="AA8" s="38"/>
    </row>
    <row r="9" spans="1:27" ht="18.75" customHeight="1" x14ac:dyDescent="0.25">
      <c r="A9" s="13" t="s">
        <v>26</v>
      </c>
      <c r="B9" s="6">
        <v>2942</v>
      </c>
      <c r="C9" s="6">
        <v>2521</v>
      </c>
      <c r="D9" s="6">
        <v>2521</v>
      </c>
      <c r="E9" s="6">
        <v>3362</v>
      </c>
      <c r="F9" s="6">
        <v>4202</v>
      </c>
      <c r="G9" s="6">
        <v>4202</v>
      </c>
      <c r="H9" s="6">
        <v>2521</v>
      </c>
      <c r="I9" s="6">
        <v>2101</v>
      </c>
      <c r="J9" s="6">
        <v>3362</v>
      </c>
      <c r="K9" s="6">
        <v>3782</v>
      </c>
      <c r="L9" s="6">
        <v>6303</v>
      </c>
      <c r="M9" s="6">
        <v>4202</v>
      </c>
      <c r="N9" s="49">
        <f t="shared" si="0"/>
        <v>42021</v>
      </c>
      <c r="O9" s="12"/>
      <c r="P9" s="115"/>
      <c r="Q9" s="38"/>
      <c r="R9" s="38"/>
      <c r="S9" s="51">
        <v>0.4</v>
      </c>
      <c r="T9" s="38">
        <v>1998.116</v>
      </c>
      <c r="U9" s="38">
        <v>2400.9079999999999</v>
      </c>
      <c r="V9" s="44">
        <v>31200.52</v>
      </c>
      <c r="W9" s="38"/>
      <c r="X9" s="38"/>
      <c r="Y9" s="38"/>
      <c r="Z9" s="38">
        <v>35599.544000000002</v>
      </c>
      <c r="AA9" s="38"/>
    </row>
    <row r="10" spans="1:27" x14ac:dyDescent="0.25">
      <c r="A10" s="13" t="s">
        <v>27</v>
      </c>
      <c r="B10" s="46">
        <f>SUM(B7:B9)</f>
        <v>5989</v>
      </c>
      <c r="C10" s="46">
        <f t="shared" ref="C10:M10" si="1">SUM(C7:C9)</f>
        <v>5095</v>
      </c>
      <c r="D10" s="46">
        <f t="shared" si="1"/>
        <v>5777</v>
      </c>
      <c r="E10" s="46">
        <f t="shared" si="1"/>
        <v>9035</v>
      </c>
      <c r="F10" s="46">
        <f t="shared" si="1"/>
        <v>10348</v>
      </c>
      <c r="G10" s="46">
        <f t="shared" si="1"/>
        <v>9507</v>
      </c>
      <c r="H10" s="46">
        <f t="shared" si="1"/>
        <v>5778</v>
      </c>
      <c r="I10" s="46">
        <f t="shared" si="1"/>
        <v>5253</v>
      </c>
      <c r="J10" s="46">
        <f t="shared" si="1"/>
        <v>9928</v>
      </c>
      <c r="K10" s="46">
        <f t="shared" si="1"/>
        <v>10295</v>
      </c>
      <c r="L10" s="46">
        <f t="shared" si="1"/>
        <v>16336</v>
      </c>
      <c r="M10" s="46">
        <f t="shared" si="1"/>
        <v>11714</v>
      </c>
      <c r="N10" s="49">
        <f t="shared" si="0"/>
        <v>105055</v>
      </c>
      <c r="O10" s="12"/>
      <c r="P10" s="115"/>
      <c r="Q10" s="38"/>
      <c r="R10" s="38"/>
      <c r="S10" s="90" t="s">
        <v>28</v>
      </c>
      <c r="T10" s="38">
        <v>4995.29</v>
      </c>
      <c r="U10" s="38">
        <v>6002.27</v>
      </c>
      <c r="V10" s="38">
        <v>69336.517000000007</v>
      </c>
      <c r="W10" s="38"/>
      <c r="X10" s="38"/>
      <c r="Y10" s="38"/>
      <c r="Z10" s="38"/>
      <c r="AA10" s="38"/>
    </row>
    <row r="11" spans="1:27" x14ac:dyDescent="0.25">
      <c r="A11" s="13" t="s">
        <v>29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6"/>
      <c r="O11" s="12"/>
      <c r="P11" s="115"/>
      <c r="Q11" s="38"/>
      <c r="R11" s="38"/>
      <c r="S11" s="90" t="s">
        <v>28</v>
      </c>
      <c r="T11" s="38"/>
      <c r="U11" s="38"/>
      <c r="V11" s="38"/>
      <c r="W11" s="38"/>
      <c r="X11" s="38"/>
      <c r="Y11" s="38"/>
      <c r="Z11" s="38"/>
      <c r="AA11" s="38"/>
    </row>
    <row r="12" spans="1:27" x14ac:dyDescent="0.25">
      <c r="A12" s="13" t="s">
        <v>31</v>
      </c>
      <c r="B12" s="6">
        <v>15478</v>
      </c>
      <c r="C12" s="6">
        <v>16446</v>
      </c>
      <c r="D12" s="6">
        <v>16446</v>
      </c>
      <c r="E12" s="6">
        <v>13543</v>
      </c>
      <c r="F12" s="6">
        <v>13543</v>
      </c>
      <c r="G12" s="6">
        <v>13543</v>
      </c>
      <c r="H12" s="6">
        <v>17413</v>
      </c>
      <c r="I12" s="6">
        <v>17413</v>
      </c>
      <c r="J12" s="6">
        <v>17413</v>
      </c>
      <c r="K12" s="6">
        <v>17413</v>
      </c>
      <c r="L12" s="6">
        <v>17413</v>
      </c>
      <c r="M12" s="6">
        <v>17413</v>
      </c>
      <c r="N12" s="49">
        <f>SUM(B12:M12)</f>
        <v>193477</v>
      </c>
      <c r="O12" s="12"/>
      <c r="P12" s="115"/>
      <c r="Q12" s="38"/>
      <c r="R12" s="38"/>
      <c r="S12" s="51">
        <v>0.85</v>
      </c>
      <c r="T12" s="3">
        <v>5968.64</v>
      </c>
      <c r="U12" s="3">
        <v>3433.48</v>
      </c>
      <c r="V12" s="3">
        <v>110623.57</v>
      </c>
      <c r="W12" s="3">
        <v>3756.79</v>
      </c>
      <c r="X12" s="3">
        <v>1579.41</v>
      </c>
      <c r="Y12" s="2">
        <v>123.55</v>
      </c>
      <c r="Z12" s="3">
        <v>125485.44</v>
      </c>
      <c r="AA12" s="38"/>
    </row>
    <row r="13" spans="1:27" x14ac:dyDescent="0.25">
      <c r="A13" s="13" t="s">
        <v>32</v>
      </c>
      <c r="B13" s="6">
        <v>683</v>
      </c>
      <c r="C13" s="6">
        <v>5121</v>
      </c>
      <c r="D13" s="6">
        <v>683</v>
      </c>
      <c r="E13" s="6">
        <v>683</v>
      </c>
      <c r="F13" s="6">
        <v>5121</v>
      </c>
      <c r="G13" s="6">
        <v>2049</v>
      </c>
      <c r="H13" s="6">
        <v>1366</v>
      </c>
      <c r="I13" s="6">
        <v>7511</v>
      </c>
      <c r="J13" s="6">
        <v>4097</v>
      </c>
      <c r="K13" s="6">
        <v>5121</v>
      </c>
      <c r="L13" s="6">
        <v>683</v>
      </c>
      <c r="M13" s="6">
        <v>1024</v>
      </c>
      <c r="N13" s="49">
        <f t="shared" ref="N13:N14" si="2">SUM(B13:M13)</f>
        <v>34142</v>
      </c>
      <c r="O13" s="12"/>
      <c r="P13" s="115"/>
      <c r="Q13" s="38"/>
      <c r="R13" s="38"/>
      <c r="S13" s="51">
        <v>0.15</v>
      </c>
      <c r="T13" s="3">
        <v>1053.29</v>
      </c>
      <c r="U13" s="2">
        <v>605.91</v>
      </c>
      <c r="V13" s="3">
        <v>12291.51</v>
      </c>
      <c r="W13" s="2">
        <v>662.96</v>
      </c>
      <c r="X13" s="2">
        <v>278.72000000000003</v>
      </c>
      <c r="Y13" s="2"/>
      <c r="Z13" s="3">
        <v>14892.39</v>
      </c>
      <c r="AA13" s="38"/>
    </row>
    <row r="14" spans="1:27" x14ac:dyDescent="0.25">
      <c r="A14" s="13" t="s">
        <v>33</v>
      </c>
      <c r="B14" s="46">
        <f>SUM(B12:B13)</f>
        <v>16161</v>
      </c>
      <c r="C14" s="46">
        <f t="shared" ref="C14:M14" si="3">SUM(C12:C13)</f>
        <v>21567</v>
      </c>
      <c r="D14" s="46">
        <f t="shared" si="3"/>
        <v>17129</v>
      </c>
      <c r="E14" s="46">
        <f t="shared" si="3"/>
        <v>14226</v>
      </c>
      <c r="F14" s="46">
        <f t="shared" si="3"/>
        <v>18664</v>
      </c>
      <c r="G14" s="46">
        <f t="shared" si="3"/>
        <v>15592</v>
      </c>
      <c r="H14" s="46">
        <f t="shared" si="3"/>
        <v>18779</v>
      </c>
      <c r="I14" s="46">
        <f t="shared" si="3"/>
        <v>24924</v>
      </c>
      <c r="J14" s="46">
        <f t="shared" si="3"/>
        <v>21510</v>
      </c>
      <c r="K14" s="46">
        <f t="shared" si="3"/>
        <v>22534</v>
      </c>
      <c r="L14" s="46">
        <f t="shared" si="3"/>
        <v>18096</v>
      </c>
      <c r="M14" s="46">
        <f t="shared" si="3"/>
        <v>18437</v>
      </c>
      <c r="N14" s="49">
        <f t="shared" si="2"/>
        <v>227619</v>
      </c>
      <c r="O14" s="12"/>
      <c r="P14" s="115"/>
      <c r="Q14" s="38"/>
      <c r="R14" s="38"/>
      <c r="S14" s="50" t="s">
        <v>28</v>
      </c>
      <c r="T14" s="3">
        <v>7021.93</v>
      </c>
      <c r="U14" s="3">
        <v>4039.39</v>
      </c>
      <c r="V14" s="3">
        <v>122915.08</v>
      </c>
      <c r="W14" s="3">
        <v>4419.75</v>
      </c>
      <c r="X14" s="3">
        <v>1858.13</v>
      </c>
      <c r="Y14" s="2">
        <v>123.55</v>
      </c>
      <c r="Z14" s="2"/>
      <c r="AA14" s="38"/>
    </row>
    <row r="15" spans="1:27" x14ac:dyDescent="0.25">
      <c r="A15" s="13" t="s">
        <v>34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6"/>
      <c r="O15" s="12"/>
      <c r="P15" s="115"/>
      <c r="Q15" s="38"/>
      <c r="R15" s="38"/>
      <c r="S15" s="50" t="s">
        <v>28</v>
      </c>
      <c r="T15" s="2"/>
      <c r="U15" s="2"/>
      <c r="V15" s="2"/>
      <c r="W15" s="2"/>
      <c r="X15" s="2"/>
      <c r="Y15" s="2"/>
      <c r="Z15" s="2"/>
      <c r="AA15" s="38"/>
    </row>
    <row r="16" spans="1:27" x14ac:dyDescent="0.25">
      <c r="A16" s="13" t="s">
        <v>35</v>
      </c>
      <c r="B16" s="6">
        <v>189</v>
      </c>
      <c r="C16" s="6">
        <v>314</v>
      </c>
      <c r="D16" s="6">
        <v>629</v>
      </c>
      <c r="E16" s="6">
        <v>691</v>
      </c>
      <c r="F16" s="6">
        <v>503</v>
      </c>
      <c r="G16" s="6">
        <v>251</v>
      </c>
      <c r="H16" s="6">
        <v>189</v>
      </c>
      <c r="I16" s="6">
        <v>629</v>
      </c>
      <c r="J16" s="6">
        <v>691</v>
      </c>
      <c r="K16" s="6">
        <v>1131</v>
      </c>
      <c r="L16" s="6">
        <v>817</v>
      </c>
      <c r="M16" s="6">
        <v>251</v>
      </c>
      <c r="N16" s="49">
        <f>SUM(B16:M16)</f>
        <v>6285</v>
      </c>
      <c r="O16" s="12"/>
      <c r="P16" s="115"/>
      <c r="Q16" s="38"/>
      <c r="R16" s="38"/>
      <c r="S16" s="51">
        <v>0.36</v>
      </c>
      <c r="T16" s="2">
        <v>233.07</v>
      </c>
      <c r="U16" s="3">
        <v>1088.3599999999999</v>
      </c>
      <c r="V16" s="3">
        <v>1536.1</v>
      </c>
      <c r="W16" s="2"/>
      <c r="X16" s="2"/>
      <c r="Y16" s="2"/>
      <c r="Z16" s="3">
        <v>2857.52</v>
      </c>
      <c r="AA16" s="38"/>
    </row>
    <row r="17" spans="1:27" x14ac:dyDescent="0.25">
      <c r="A17" s="13" t="s">
        <v>36</v>
      </c>
      <c r="B17" s="6">
        <v>449</v>
      </c>
      <c r="C17" s="6">
        <v>337</v>
      </c>
      <c r="D17" s="6">
        <v>561</v>
      </c>
      <c r="E17" s="6">
        <v>1122</v>
      </c>
      <c r="F17" s="6">
        <v>1235</v>
      </c>
      <c r="G17" s="6">
        <v>898</v>
      </c>
      <c r="H17" s="6">
        <v>449</v>
      </c>
      <c r="I17" s="6">
        <v>337</v>
      </c>
      <c r="J17" s="6">
        <v>1122</v>
      </c>
      <c r="K17" s="6">
        <v>1235</v>
      </c>
      <c r="L17" s="6">
        <v>2020</v>
      </c>
      <c r="M17" s="6">
        <v>1459</v>
      </c>
      <c r="N17" s="49">
        <f>SUM(B17:M17)</f>
        <v>11224</v>
      </c>
      <c r="O17" s="12"/>
      <c r="P17" s="115"/>
      <c r="Q17" s="38"/>
      <c r="R17" s="38"/>
      <c r="S17" s="51">
        <v>0.64</v>
      </c>
      <c r="T17" s="2">
        <v>416.2</v>
      </c>
      <c r="U17" s="3">
        <v>1943.55</v>
      </c>
      <c r="V17" s="3">
        <v>2304.14</v>
      </c>
      <c r="W17" s="2"/>
      <c r="X17" s="2"/>
      <c r="Y17" s="2"/>
      <c r="Z17" s="3">
        <v>4663.8999999999996</v>
      </c>
      <c r="AA17" s="38"/>
    </row>
    <row r="18" spans="1:27" x14ac:dyDescent="0.25">
      <c r="A18" s="13" t="s">
        <v>37</v>
      </c>
      <c r="B18" s="46">
        <f>SUM(B16:B17)</f>
        <v>638</v>
      </c>
      <c r="C18" s="46">
        <f t="shared" ref="C18:N18" si="4">SUM(C16:C17)</f>
        <v>651</v>
      </c>
      <c r="D18" s="46">
        <f t="shared" si="4"/>
        <v>1190</v>
      </c>
      <c r="E18" s="46">
        <f t="shared" si="4"/>
        <v>1813</v>
      </c>
      <c r="F18" s="46">
        <f t="shared" si="4"/>
        <v>1738</v>
      </c>
      <c r="G18" s="46">
        <f t="shared" si="4"/>
        <v>1149</v>
      </c>
      <c r="H18" s="46">
        <f t="shared" si="4"/>
        <v>638</v>
      </c>
      <c r="I18" s="46">
        <f t="shared" si="4"/>
        <v>966</v>
      </c>
      <c r="J18" s="46">
        <f t="shared" si="4"/>
        <v>1813</v>
      </c>
      <c r="K18" s="46">
        <f t="shared" si="4"/>
        <v>2366</v>
      </c>
      <c r="L18" s="46">
        <f t="shared" si="4"/>
        <v>2837</v>
      </c>
      <c r="M18" s="46">
        <f t="shared" si="4"/>
        <v>1710</v>
      </c>
      <c r="N18" s="46">
        <f t="shared" si="4"/>
        <v>17509</v>
      </c>
      <c r="O18" s="12"/>
      <c r="P18" s="115"/>
      <c r="Q18" s="38"/>
      <c r="R18" s="38"/>
      <c r="S18" s="2"/>
      <c r="T18" s="2">
        <v>649.27</v>
      </c>
      <c r="U18" s="3">
        <v>3031.91</v>
      </c>
      <c r="V18" s="3">
        <v>3840.24</v>
      </c>
      <c r="W18" s="2"/>
      <c r="X18" s="2"/>
      <c r="Y18" s="2"/>
      <c r="Z18" s="2"/>
      <c r="AA18" s="38"/>
    </row>
    <row r="19" spans="1:27" x14ac:dyDescent="0.25">
      <c r="A19" s="13" t="s">
        <v>38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13"/>
      <c r="O19" s="12"/>
      <c r="P19" s="115"/>
      <c r="Q19" s="38"/>
      <c r="R19" s="38"/>
      <c r="S19" s="2"/>
      <c r="T19" s="3">
        <v>12666.49</v>
      </c>
      <c r="U19" s="3">
        <v>13073.57</v>
      </c>
      <c r="V19" s="3">
        <v>196091.84</v>
      </c>
      <c r="W19" s="3">
        <v>4419.75</v>
      </c>
      <c r="X19" s="3">
        <v>1858.13</v>
      </c>
      <c r="Y19" s="2">
        <v>123.55</v>
      </c>
      <c r="Z19" s="3">
        <v>228233.33</v>
      </c>
      <c r="AA19" s="38"/>
    </row>
    <row r="20" spans="1:27" x14ac:dyDescent="0.25">
      <c r="A20" s="13" t="s">
        <v>39</v>
      </c>
      <c r="B20" s="6"/>
      <c r="C20" s="6"/>
      <c r="D20" s="6"/>
      <c r="E20" s="6"/>
      <c r="F20" s="6"/>
      <c r="G20" s="6"/>
      <c r="H20" s="6"/>
      <c r="I20" s="6">
        <v>131</v>
      </c>
      <c r="J20" s="6"/>
      <c r="K20" s="6">
        <v>19</v>
      </c>
      <c r="L20" s="6"/>
      <c r="M20" s="6">
        <v>932</v>
      </c>
      <c r="N20" s="113">
        <f t="shared" ref="N20:N22" si="5">SUM(B20:M20)</f>
        <v>1082</v>
      </c>
      <c r="O20" s="12"/>
      <c r="P20" s="115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</row>
    <row r="21" spans="1:27" x14ac:dyDescent="0.25">
      <c r="A21" s="13" t="s">
        <v>40</v>
      </c>
      <c r="B21" s="6"/>
      <c r="C21" s="6"/>
      <c r="D21" s="6"/>
      <c r="E21" s="6"/>
      <c r="F21" s="6">
        <v>201</v>
      </c>
      <c r="G21" s="6">
        <v>401</v>
      </c>
      <c r="H21" s="6">
        <v>201</v>
      </c>
      <c r="I21" s="6">
        <v>201</v>
      </c>
      <c r="J21" s="6">
        <v>201</v>
      </c>
      <c r="K21" s="6">
        <v>401</v>
      </c>
      <c r="L21" s="6">
        <v>201</v>
      </c>
      <c r="M21" s="6">
        <v>201</v>
      </c>
      <c r="N21" s="113">
        <f t="shared" si="5"/>
        <v>2008</v>
      </c>
      <c r="O21" s="12"/>
      <c r="P21" s="115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</row>
    <row r="22" spans="1:27" x14ac:dyDescent="0.25">
      <c r="A22" s="47" t="s">
        <v>41</v>
      </c>
      <c r="B22" s="46">
        <f>B10+B14+B18+B19+B20+B21</f>
        <v>22788</v>
      </c>
      <c r="C22" s="46">
        <f t="shared" ref="C22:M22" si="6">C10+C14+C18+C19+C20+C21</f>
        <v>27313</v>
      </c>
      <c r="D22" s="46">
        <f t="shared" si="6"/>
        <v>24096</v>
      </c>
      <c r="E22" s="46">
        <f t="shared" si="6"/>
        <v>25074</v>
      </c>
      <c r="F22" s="46">
        <f t="shared" si="6"/>
        <v>30951</v>
      </c>
      <c r="G22" s="46">
        <f t="shared" si="6"/>
        <v>26649</v>
      </c>
      <c r="H22" s="46">
        <f t="shared" si="6"/>
        <v>25396</v>
      </c>
      <c r="I22" s="46">
        <f t="shared" si="6"/>
        <v>31475</v>
      </c>
      <c r="J22" s="46">
        <f t="shared" si="6"/>
        <v>33452</v>
      </c>
      <c r="K22" s="46">
        <f t="shared" si="6"/>
        <v>35615</v>
      </c>
      <c r="L22" s="46">
        <f t="shared" si="6"/>
        <v>37470</v>
      </c>
      <c r="M22" s="46">
        <f t="shared" si="6"/>
        <v>32994</v>
      </c>
      <c r="N22" s="114">
        <f t="shared" si="5"/>
        <v>353273</v>
      </c>
      <c r="O22" s="12"/>
      <c r="P22" s="115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</row>
    <row r="23" spans="1:27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2"/>
      <c r="P23" s="115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</row>
    <row r="24" spans="1:27" ht="23.25" x14ac:dyDescent="0.35">
      <c r="A24" s="41" t="s">
        <v>42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12"/>
      <c r="P24" s="115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</row>
    <row r="25" spans="1:27" ht="18" x14ac:dyDescent="0.25">
      <c r="A25" s="48" t="s">
        <v>43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12"/>
      <c r="P25" s="115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</row>
    <row r="26" spans="1:27" x14ac:dyDescent="0.25">
      <c r="A26" s="13" t="s">
        <v>44</v>
      </c>
      <c r="B26" s="6">
        <v>150</v>
      </c>
      <c r="C26" s="6">
        <v>180</v>
      </c>
      <c r="D26" s="6">
        <v>210</v>
      </c>
      <c r="E26" s="6">
        <v>255</v>
      </c>
      <c r="F26" s="6">
        <v>270</v>
      </c>
      <c r="G26" s="6">
        <v>240</v>
      </c>
      <c r="H26" s="6">
        <v>150</v>
      </c>
      <c r="I26" s="6">
        <v>180</v>
      </c>
      <c r="J26" s="6">
        <v>255</v>
      </c>
      <c r="K26" s="6">
        <v>390</v>
      </c>
      <c r="L26" s="6">
        <v>390</v>
      </c>
      <c r="M26" s="6">
        <v>330</v>
      </c>
      <c r="N26" s="6">
        <v>3001</v>
      </c>
      <c r="O26" s="12"/>
      <c r="P26" s="115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</row>
    <row r="27" spans="1:27" x14ac:dyDescent="0.25">
      <c r="A27" s="13" t="s">
        <v>45</v>
      </c>
      <c r="B27" s="6">
        <v>1387</v>
      </c>
      <c r="C27" s="6">
        <v>1664</v>
      </c>
      <c r="D27" s="6">
        <v>1941</v>
      </c>
      <c r="E27" s="6">
        <v>2358</v>
      </c>
      <c r="F27" s="6">
        <v>2496</v>
      </c>
      <c r="G27" s="6">
        <v>2219</v>
      </c>
      <c r="H27" s="6">
        <v>1387</v>
      </c>
      <c r="I27" s="6">
        <v>1664</v>
      </c>
      <c r="J27" s="6">
        <v>2358</v>
      </c>
      <c r="K27" s="6">
        <v>3606</v>
      </c>
      <c r="L27" s="6">
        <v>3606</v>
      </c>
      <c r="M27" s="6">
        <v>3051</v>
      </c>
      <c r="N27" s="6">
        <v>27735</v>
      </c>
      <c r="O27" s="12"/>
      <c r="P27" s="115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</row>
    <row r="28" spans="1:27" x14ac:dyDescent="0.25">
      <c r="A28" s="13" t="s">
        <v>46</v>
      </c>
      <c r="B28" s="6">
        <v>125</v>
      </c>
      <c r="C28" s="6">
        <v>150</v>
      </c>
      <c r="D28" s="6">
        <v>175</v>
      </c>
      <c r="E28" s="6">
        <v>212</v>
      </c>
      <c r="F28" s="6">
        <v>225</v>
      </c>
      <c r="G28" s="6">
        <v>200</v>
      </c>
      <c r="H28" s="6">
        <v>125</v>
      </c>
      <c r="I28" s="6">
        <v>150</v>
      </c>
      <c r="J28" s="6">
        <v>212</v>
      </c>
      <c r="K28" s="6">
        <v>325</v>
      </c>
      <c r="L28" s="6">
        <v>325</v>
      </c>
      <c r="M28" s="6">
        <v>275</v>
      </c>
      <c r="N28" s="6">
        <v>2498</v>
      </c>
      <c r="O28" s="12"/>
      <c r="P28" s="115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</row>
    <row r="29" spans="1:27" x14ac:dyDescent="0.25">
      <c r="A29" s="13" t="s">
        <v>47</v>
      </c>
      <c r="B29" s="46">
        <f>SUM(B26:B28)</f>
        <v>1662</v>
      </c>
      <c r="C29" s="46">
        <f t="shared" ref="C29:N29" si="7">SUM(C26:C28)</f>
        <v>1994</v>
      </c>
      <c r="D29" s="46">
        <f t="shared" si="7"/>
        <v>2326</v>
      </c>
      <c r="E29" s="46">
        <f t="shared" si="7"/>
        <v>2825</v>
      </c>
      <c r="F29" s="46">
        <f t="shared" si="7"/>
        <v>2991</v>
      </c>
      <c r="G29" s="46">
        <f t="shared" si="7"/>
        <v>2659</v>
      </c>
      <c r="H29" s="46">
        <f t="shared" si="7"/>
        <v>1662</v>
      </c>
      <c r="I29" s="46">
        <f t="shared" si="7"/>
        <v>1994</v>
      </c>
      <c r="J29" s="46">
        <f t="shared" si="7"/>
        <v>2825</v>
      </c>
      <c r="K29" s="46">
        <f t="shared" si="7"/>
        <v>4321</v>
      </c>
      <c r="L29" s="46">
        <f t="shared" si="7"/>
        <v>4321</v>
      </c>
      <c r="M29" s="46">
        <f t="shared" si="7"/>
        <v>3656</v>
      </c>
      <c r="N29" s="46">
        <f t="shared" si="7"/>
        <v>33234</v>
      </c>
      <c r="O29" s="46"/>
      <c r="P29" s="115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</row>
    <row r="30" spans="1:27" x14ac:dyDescent="0.25">
      <c r="A30" s="13" t="s">
        <v>48</v>
      </c>
      <c r="B30" s="49">
        <f>B7-B29</f>
        <v>439</v>
      </c>
      <c r="C30" s="49">
        <f t="shared" ref="C30:N30" si="8">C7-C29</f>
        <v>-418</v>
      </c>
      <c r="D30" s="49">
        <f t="shared" si="8"/>
        <v>300</v>
      </c>
      <c r="E30" s="49">
        <f t="shared" si="8"/>
        <v>2428</v>
      </c>
      <c r="F30" s="49">
        <f t="shared" si="8"/>
        <v>2787</v>
      </c>
      <c r="G30" s="49">
        <f t="shared" si="8"/>
        <v>1543</v>
      </c>
      <c r="H30" s="49">
        <f t="shared" si="8"/>
        <v>439</v>
      </c>
      <c r="I30" s="49">
        <f t="shared" si="8"/>
        <v>-418</v>
      </c>
      <c r="J30" s="49">
        <f t="shared" si="8"/>
        <v>2428</v>
      </c>
      <c r="K30" s="49">
        <f t="shared" si="8"/>
        <v>1457</v>
      </c>
      <c r="L30" s="49">
        <f t="shared" si="8"/>
        <v>5134</v>
      </c>
      <c r="M30" s="49">
        <f t="shared" si="8"/>
        <v>3173</v>
      </c>
      <c r="N30" s="49">
        <f t="shared" si="8"/>
        <v>19294</v>
      </c>
      <c r="O30" s="12"/>
      <c r="P30" s="115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</row>
    <row r="31" spans="1:27" x14ac:dyDescent="0.25">
      <c r="A31" s="50" t="s">
        <v>49</v>
      </c>
      <c r="B31" s="51">
        <f>B30/B7</f>
        <v>0.20894811994288434</v>
      </c>
      <c r="C31" s="51">
        <f t="shared" ref="C31:N31" si="9">C30/C7</f>
        <v>-0.26522842639593908</v>
      </c>
      <c r="D31" s="51">
        <f t="shared" si="9"/>
        <v>0.11424219345011424</v>
      </c>
      <c r="E31" s="51">
        <f t="shared" si="9"/>
        <v>0.46221206929373693</v>
      </c>
      <c r="F31" s="51">
        <f t="shared" si="9"/>
        <v>0.48234683281412255</v>
      </c>
      <c r="G31" s="51">
        <f t="shared" si="9"/>
        <v>0.36720609233698237</v>
      </c>
      <c r="H31" s="51">
        <f t="shared" si="9"/>
        <v>0.20894811994288434</v>
      </c>
      <c r="I31" s="51">
        <f t="shared" si="9"/>
        <v>-0.26522842639593908</v>
      </c>
      <c r="J31" s="51">
        <f t="shared" si="9"/>
        <v>0.46221206929373693</v>
      </c>
      <c r="K31" s="51">
        <f t="shared" si="9"/>
        <v>0.25216337833160263</v>
      </c>
      <c r="L31" s="51">
        <f t="shared" si="9"/>
        <v>0.54299312533051292</v>
      </c>
      <c r="M31" s="51">
        <f t="shared" si="9"/>
        <v>0.46463611070434913</v>
      </c>
      <c r="N31" s="51">
        <f t="shared" si="9"/>
        <v>0.3673088638440451</v>
      </c>
      <c r="O31" s="12"/>
      <c r="P31" s="115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</row>
    <row r="32" spans="1:27" x14ac:dyDescent="0.25">
      <c r="A32" s="13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12"/>
      <c r="P32" s="115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</row>
    <row r="33" spans="1:27" x14ac:dyDescent="0.25">
      <c r="A33" s="13" t="s">
        <v>50</v>
      </c>
      <c r="B33" s="6">
        <v>30</v>
      </c>
      <c r="C33" s="6">
        <v>36</v>
      </c>
      <c r="D33" s="6">
        <v>42</v>
      </c>
      <c r="E33" s="6">
        <v>51</v>
      </c>
      <c r="F33" s="6">
        <v>54</v>
      </c>
      <c r="G33" s="6">
        <v>48</v>
      </c>
      <c r="H33" s="6">
        <v>30</v>
      </c>
      <c r="I33" s="6">
        <v>36</v>
      </c>
      <c r="J33" s="6">
        <v>51</v>
      </c>
      <c r="K33" s="6">
        <v>78</v>
      </c>
      <c r="L33" s="6">
        <v>78</v>
      </c>
      <c r="M33" s="6">
        <v>66</v>
      </c>
      <c r="N33" s="6">
        <v>600</v>
      </c>
      <c r="O33" s="12"/>
      <c r="P33" s="115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</row>
    <row r="34" spans="1:27" x14ac:dyDescent="0.25">
      <c r="A34" s="13" t="s">
        <v>51</v>
      </c>
      <c r="B34" s="6">
        <v>988</v>
      </c>
      <c r="C34" s="6">
        <v>936</v>
      </c>
      <c r="D34" s="6">
        <v>624</v>
      </c>
      <c r="E34" s="6">
        <v>364</v>
      </c>
      <c r="F34" s="6">
        <v>416</v>
      </c>
      <c r="G34" s="6">
        <v>1144</v>
      </c>
      <c r="H34" s="6">
        <v>1092</v>
      </c>
      <c r="I34" s="6">
        <v>1300</v>
      </c>
      <c r="J34" s="6">
        <v>1560</v>
      </c>
      <c r="K34" s="6">
        <v>728</v>
      </c>
      <c r="L34" s="6">
        <v>572</v>
      </c>
      <c r="M34" s="6">
        <v>676</v>
      </c>
      <c r="N34" s="6">
        <v>10401</v>
      </c>
      <c r="O34" s="12"/>
      <c r="P34" s="115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</row>
    <row r="35" spans="1:27" x14ac:dyDescent="0.25">
      <c r="A35" s="13" t="s">
        <v>52</v>
      </c>
      <c r="B35" s="6">
        <v>25</v>
      </c>
      <c r="C35" s="6">
        <v>30</v>
      </c>
      <c r="D35" s="6">
        <v>35</v>
      </c>
      <c r="E35" s="6">
        <v>42</v>
      </c>
      <c r="F35" s="6">
        <v>45</v>
      </c>
      <c r="G35" s="6">
        <v>40</v>
      </c>
      <c r="H35" s="6">
        <v>25</v>
      </c>
      <c r="I35" s="6">
        <v>30</v>
      </c>
      <c r="J35" s="6">
        <v>42</v>
      </c>
      <c r="K35" s="6">
        <v>65</v>
      </c>
      <c r="L35" s="6">
        <v>65</v>
      </c>
      <c r="M35" s="6">
        <v>55</v>
      </c>
      <c r="N35" s="6">
        <v>500</v>
      </c>
      <c r="O35" s="12"/>
      <c r="P35" s="115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</row>
    <row r="36" spans="1:27" x14ac:dyDescent="0.25">
      <c r="A36" s="13" t="s">
        <v>53</v>
      </c>
      <c r="B36" s="46">
        <f>SUM(B33:B35)</f>
        <v>1043</v>
      </c>
      <c r="C36" s="46">
        <f t="shared" ref="C36:N36" si="10">SUM(C33:C35)</f>
        <v>1002</v>
      </c>
      <c r="D36" s="46">
        <f t="shared" si="10"/>
        <v>701</v>
      </c>
      <c r="E36" s="46">
        <f t="shared" si="10"/>
        <v>457</v>
      </c>
      <c r="F36" s="46">
        <f t="shared" si="10"/>
        <v>515</v>
      </c>
      <c r="G36" s="46">
        <f t="shared" si="10"/>
        <v>1232</v>
      </c>
      <c r="H36" s="46">
        <f t="shared" si="10"/>
        <v>1147</v>
      </c>
      <c r="I36" s="46">
        <f t="shared" si="10"/>
        <v>1366</v>
      </c>
      <c r="J36" s="46">
        <f t="shared" si="10"/>
        <v>1653</v>
      </c>
      <c r="K36" s="46">
        <f t="shared" si="10"/>
        <v>871</v>
      </c>
      <c r="L36" s="46">
        <f t="shared" si="10"/>
        <v>715</v>
      </c>
      <c r="M36" s="46">
        <f t="shared" si="10"/>
        <v>797</v>
      </c>
      <c r="N36" s="46">
        <f t="shared" si="10"/>
        <v>11501</v>
      </c>
      <c r="O36" s="12"/>
      <c r="P36" s="115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</row>
    <row r="37" spans="1:27" x14ac:dyDescent="0.25">
      <c r="A37" s="13" t="s">
        <v>54</v>
      </c>
      <c r="B37" s="49">
        <f>B8-B36</f>
        <v>-97</v>
      </c>
      <c r="C37" s="49">
        <f t="shared" ref="C37:N37" si="11">C8-C36</f>
        <v>-4</v>
      </c>
      <c r="D37" s="49">
        <f t="shared" si="11"/>
        <v>-71</v>
      </c>
      <c r="E37" s="49">
        <f t="shared" si="11"/>
        <v>-37</v>
      </c>
      <c r="F37" s="49">
        <f t="shared" si="11"/>
        <v>-147</v>
      </c>
      <c r="G37" s="49">
        <f t="shared" si="11"/>
        <v>-129</v>
      </c>
      <c r="H37" s="49">
        <f t="shared" si="11"/>
        <v>9</v>
      </c>
      <c r="I37" s="49">
        <f t="shared" si="11"/>
        <v>210</v>
      </c>
      <c r="J37" s="49">
        <f t="shared" si="11"/>
        <v>-340</v>
      </c>
      <c r="K37" s="49">
        <f t="shared" si="11"/>
        <v>-136</v>
      </c>
      <c r="L37" s="49">
        <f t="shared" si="11"/>
        <v>-137</v>
      </c>
      <c r="M37" s="49">
        <f t="shared" si="11"/>
        <v>-114</v>
      </c>
      <c r="N37" s="49">
        <f t="shared" si="11"/>
        <v>-995</v>
      </c>
      <c r="O37" s="12"/>
      <c r="P37" s="115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</row>
    <row r="38" spans="1:27" x14ac:dyDescent="0.25">
      <c r="A38" s="50" t="s">
        <v>55</v>
      </c>
      <c r="B38" s="51">
        <f>B37/B8</f>
        <v>-0.10253699788583509</v>
      </c>
      <c r="C38" s="51">
        <f t="shared" ref="C38:N38" si="12">C37/C8</f>
        <v>-4.0080160320641279E-3</v>
      </c>
      <c r="D38" s="51">
        <f t="shared" si="12"/>
        <v>-0.1126984126984127</v>
      </c>
      <c r="E38" s="51">
        <f t="shared" si="12"/>
        <v>-8.8095238095238101E-2</v>
      </c>
      <c r="F38" s="51">
        <f t="shared" si="12"/>
        <v>-0.39945652173913043</v>
      </c>
      <c r="G38" s="51">
        <f t="shared" si="12"/>
        <v>-0.11695376246600181</v>
      </c>
      <c r="H38" s="51">
        <f t="shared" si="12"/>
        <v>7.7854671280276812E-3</v>
      </c>
      <c r="I38" s="51">
        <f t="shared" si="12"/>
        <v>0.13324873096446702</v>
      </c>
      <c r="J38" s="51">
        <f t="shared" si="12"/>
        <v>-0.25894897182025894</v>
      </c>
      <c r="K38" s="51">
        <f t="shared" si="12"/>
        <v>-0.18503401360544217</v>
      </c>
      <c r="L38" s="51">
        <f t="shared" si="12"/>
        <v>-0.23702422145328719</v>
      </c>
      <c r="M38" s="51">
        <f t="shared" si="12"/>
        <v>-0.16691068814055637</v>
      </c>
      <c r="N38" s="51">
        <f t="shared" si="12"/>
        <v>-9.470778602703217E-2</v>
      </c>
      <c r="O38" s="12"/>
      <c r="P38" s="115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</row>
    <row r="39" spans="1:27" ht="27" customHeight="1" x14ac:dyDescent="0.25">
      <c r="A39" s="13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12"/>
      <c r="P39" s="115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</row>
    <row r="40" spans="1:27" x14ac:dyDescent="0.25">
      <c r="A40" s="13" t="s">
        <v>56</v>
      </c>
      <c r="B40" s="6">
        <v>120</v>
      </c>
      <c r="C40" s="6">
        <v>144</v>
      </c>
      <c r="D40" s="6">
        <v>168</v>
      </c>
      <c r="E40" s="6">
        <v>204</v>
      </c>
      <c r="F40" s="6">
        <v>216</v>
      </c>
      <c r="G40" s="6">
        <v>192</v>
      </c>
      <c r="H40" s="6">
        <v>120</v>
      </c>
      <c r="I40" s="6">
        <v>144</v>
      </c>
      <c r="J40" s="6">
        <v>204</v>
      </c>
      <c r="K40" s="6">
        <v>312</v>
      </c>
      <c r="L40" s="6">
        <v>312</v>
      </c>
      <c r="M40" s="6">
        <v>264</v>
      </c>
      <c r="N40" s="6">
        <v>2401</v>
      </c>
      <c r="O40" s="12"/>
      <c r="P40" s="115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</row>
    <row r="41" spans="1:27" x14ac:dyDescent="0.25">
      <c r="A41" s="13" t="s">
        <v>57</v>
      </c>
      <c r="B41" s="6">
        <v>1872</v>
      </c>
      <c r="C41" s="6">
        <v>2085</v>
      </c>
      <c r="D41" s="6">
        <v>1716</v>
      </c>
      <c r="E41" s="6">
        <v>2384</v>
      </c>
      <c r="F41" s="6">
        <v>3432</v>
      </c>
      <c r="G41" s="6">
        <v>2808</v>
      </c>
      <c r="H41" s="6">
        <v>2174</v>
      </c>
      <c r="I41" s="6">
        <v>1744</v>
      </c>
      <c r="J41" s="6">
        <v>2340</v>
      </c>
      <c r="K41" s="6">
        <v>3120</v>
      </c>
      <c r="L41" s="6">
        <v>4368</v>
      </c>
      <c r="M41" s="6">
        <v>3158</v>
      </c>
      <c r="N41" s="6">
        <v>31201</v>
      </c>
      <c r="O41" s="12"/>
      <c r="P41" s="115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</row>
    <row r="42" spans="1:27" ht="18" customHeight="1" x14ac:dyDescent="0.25">
      <c r="A42" s="13" t="s">
        <v>58</v>
      </c>
      <c r="B42" s="6">
        <v>100</v>
      </c>
      <c r="C42" s="6">
        <v>120</v>
      </c>
      <c r="D42" s="6">
        <v>140</v>
      </c>
      <c r="E42" s="6">
        <v>170</v>
      </c>
      <c r="F42" s="6">
        <v>180</v>
      </c>
      <c r="G42" s="6">
        <v>160</v>
      </c>
      <c r="H42" s="6">
        <v>100</v>
      </c>
      <c r="I42" s="6">
        <v>120</v>
      </c>
      <c r="J42" s="6">
        <v>170</v>
      </c>
      <c r="K42" s="6">
        <v>260</v>
      </c>
      <c r="L42" s="6">
        <v>260</v>
      </c>
      <c r="M42" s="6">
        <v>220</v>
      </c>
      <c r="N42" s="6">
        <v>1998</v>
      </c>
      <c r="O42" s="12"/>
      <c r="P42" s="115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</row>
    <row r="43" spans="1:27" x14ac:dyDescent="0.25">
      <c r="A43" s="13" t="s">
        <v>59</v>
      </c>
      <c r="B43" s="46">
        <f>SUM(B40:B42)</f>
        <v>2092</v>
      </c>
      <c r="C43" s="46">
        <f t="shared" ref="C43:N43" si="13">SUM(C40:C42)</f>
        <v>2349</v>
      </c>
      <c r="D43" s="46">
        <f t="shared" si="13"/>
        <v>2024</v>
      </c>
      <c r="E43" s="46">
        <f t="shared" si="13"/>
        <v>2758</v>
      </c>
      <c r="F43" s="46">
        <f t="shared" si="13"/>
        <v>3828</v>
      </c>
      <c r="G43" s="46">
        <f t="shared" si="13"/>
        <v>3160</v>
      </c>
      <c r="H43" s="46">
        <f t="shared" si="13"/>
        <v>2394</v>
      </c>
      <c r="I43" s="46">
        <f t="shared" si="13"/>
        <v>2008</v>
      </c>
      <c r="J43" s="46">
        <f t="shared" si="13"/>
        <v>2714</v>
      </c>
      <c r="K43" s="46">
        <f t="shared" si="13"/>
        <v>3692</v>
      </c>
      <c r="L43" s="46">
        <f t="shared" si="13"/>
        <v>4940</v>
      </c>
      <c r="M43" s="46">
        <f t="shared" si="13"/>
        <v>3642</v>
      </c>
      <c r="N43" s="46">
        <f t="shared" si="13"/>
        <v>35600</v>
      </c>
      <c r="O43" s="12"/>
      <c r="P43" s="115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</row>
    <row r="44" spans="1:27" x14ac:dyDescent="0.25">
      <c r="A44" s="13" t="s">
        <v>60</v>
      </c>
      <c r="B44" s="49">
        <f>B9-B43</f>
        <v>850</v>
      </c>
      <c r="C44" s="49">
        <f t="shared" ref="C44:N44" si="14">C9-C43</f>
        <v>172</v>
      </c>
      <c r="D44" s="49">
        <f t="shared" si="14"/>
        <v>497</v>
      </c>
      <c r="E44" s="49">
        <f t="shared" si="14"/>
        <v>604</v>
      </c>
      <c r="F44" s="49">
        <f t="shared" si="14"/>
        <v>374</v>
      </c>
      <c r="G44" s="49">
        <f t="shared" si="14"/>
        <v>1042</v>
      </c>
      <c r="H44" s="49">
        <f t="shared" si="14"/>
        <v>127</v>
      </c>
      <c r="I44" s="49">
        <f t="shared" si="14"/>
        <v>93</v>
      </c>
      <c r="J44" s="49">
        <f t="shared" si="14"/>
        <v>648</v>
      </c>
      <c r="K44" s="49">
        <f t="shared" si="14"/>
        <v>90</v>
      </c>
      <c r="L44" s="49">
        <f t="shared" si="14"/>
        <v>1363</v>
      </c>
      <c r="M44" s="49">
        <f t="shared" si="14"/>
        <v>560</v>
      </c>
      <c r="N44" s="49">
        <f t="shared" si="14"/>
        <v>6421</v>
      </c>
      <c r="O44" s="12"/>
      <c r="P44" s="115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</row>
    <row r="45" spans="1:27" x14ac:dyDescent="0.25">
      <c r="A45" s="50" t="s">
        <v>61</v>
      </c>
      <c r="B45" s="51">
        <f>B44/B9</f>
        <v>0.28891910265125764</v>
      </c>
      <c r="C45" s="51">
        <f t="shared" ref="C45:N45" si="15">C44/C9</f>
        <v>6.8226894089646967E-2</v>
      </c>
      <c r="D45" s="51">
        <f t="shared" si="15"/>
        <v>0.19714399047996828</v>
      </c>
      <c r="E45" s="51">
        <f t="shared" si="15"/>
        <v>0.17965496728138014</v>
      </c>
      <c r="F45" s="51">
        <f t="shared" si="15"/>
        <v>8.9005235602094238E-2</v>
      </c>
      <c r="G45" s="51">
        <f t="shared" si="15"/>
        <v>0.24797715373631604</v>
      </c>
      <c r="H45" s="51">
        <f t="shared" si="15"/>
        <v>5.0376834589448631E-2</v>
      </c>
      <c r="I45" s="51">
        <f t="shared" si="15"/>
        <v>4.4264635887672536E-2</v>
      </c>
      <c r="J45" s="51">
        <f t="shared" si="15"/>
        <v>0.19274241522903035</v>
      </c>
      <c r="K45" s="51">
        <f t="shared" si="15"/>
        <v>2.3796932839767318E-2</v>
      </c>
      <c r="L45" s="51">
        <f t="shared" si="15"/>
        <v>0.21624623195303824</v>
      </c>
      <c r="M45" s="51">
        <f t="shared" si="15"/>
        <v>0.13326987148976677</v>
      </c>
      <c r="N45" s="51">
        <f t="shared" si="15"/>
        <v>0.15280455010589944</v>
      </c>
      <c r="O45" s="12"/>
      <c r="P45" s="115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</row>
    <row r="46" spans="1:27" x14ac:dyDescent="0.25">
      <c r="A46" s="13" t="s">
        <v>62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12"/>
      <c r="P46" s="115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</row>
    <row r="47" spans="1:27" ht="18" x14ac:dyDescent="0.25">
      <c r="A47" s="48" t="s">
        <v>63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12"/>
      <c r="P47" s="115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</row>
    <row r="48" spans="1:27" x14ac:dyDescent="0.25">
      <c r="A48" s="13" t="s">
        <v>64</v>
      </c>
      <c r="B48" s="6">
        <v>283</v>
      </c>
      <c r="C48" s="6">
        <v>404</v>
      </c>
      <c r="D48" s="6">
        <v>283</v>
      </c>
      <c r="E48" s="6">
        <v>242</v>
      </c>
      <c r="F48" s="6">
        <v>323</v>
      </c>
      <c r="G48" s="6">
        <v>283</v>
      </c>
      <c r="H48" s="6">
        <v>323</v>
      </c>
      <c r="I48" s="6">
        <v>404</v>
      </c>
      <c r="J48" s="6">
        <v>364</v>
      </c>
      <c r="K48" s="6">
        <v>404</v>
      </c>
      <c r="L48" s="6">
        <v>364</v>
      </c>
      <c r="M48" s="6">
        <v>364</v>
      </c>
      <c r="N48" s="6">
        <v>4039</v>
      </c>
      <c r="O48" s="12"/>
      <c r="P48" s="115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</row>
    <row r="49" spans="1:27" x14ac:dyDescent="0.25">
      <c r="A49" s="13" t="s">
        <v>65</v>
      </c>
      <c r="B49" s="6">
        <v>9649</v>
      </c>
      <c r="C49" s="6">
        <v>10140</v>
      </c>
      <c r="D49" s="6">
        <v>8874</v>
      </c>
      <c r="E49" s="6">
        <v>7768</v>
      </c>
      <c r="F49" s="6">
        <v>9410</v>
      </c>
      <c r="G49" s="6">
        <v>8481</v>
      </c>
      <c r="H49" s="6">
        <v>10227</v>
      </c>
      <c r="I49" s="6">
        <v>13545</v>
      </c>
      <c r="J49" s="6">
        <v>10989</v>
      </c>
      <c r="K49" s="6">
        <v>11579</v>
      </c>
      <c r="L49" s="6">
        <v>12414</v>
      </c>
      <c r="M49" s="6">
        <v>9838</v>
      </c>
      <c r="N49" s="6">
        <v>122915</v>
      </c>
      <c r="O49" s="12"/>
      <c r="P49" s="115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</row>
    <row r="50" spans="1:27" x14ac:dyDescent="0.25">
      <c r="A50" s="13" t="s">
        <v>66</v>
      </c>
      <c r="B50" s="6">
        <v>492</v>
      </c>
      <c r="C50" s="6">
        <v>702</v>
      </c>
      <c r="D50" s="6">
        <v>492</v>
      </c>
      <c r="E50" s="6">
        <v>421</v>
      </c>
      <c r="F50" s="6">
        <v>562</v>
      </c>
      <c r="G50" s="6">
        <v>492</v>
      </c>
      <c r="H50" s="6">
        <v>562</v>
      </c>
      <c r="I50" s="6">
        <v>702</v>
      </c>
      <c r="J50" s="6">
        <v>632</v>
      </c>
      <c r="K50" s="6">
        <v>702</v>
      </c>
      <c r="L50" s="6">
        <v>632</v>
      </c>
      <c r="M50" s="6">
        <v>632</v>
      </c>
      <c r="N50" s="6">
        <v>7022</v>
      </c>
      <c r="O50" s="12"/>
      <c r="P50" s="115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</row>
    <row r="51" spans="1:27" x14ac:dyDescent="0.25">
      <c r="A51" s="13" t="s">
        <v>67</v>
      </c>
      <c r="B51" s="46">
        <f>SUM(B48:B50)</f>
        <v>10424</v>
      </c>
      <c r="C51" s="46">
        <f t="shared" ref="C51:N51" si="16">SUM(C48:C50)</f>
        <v>11246</v>
      </c>
      <c r="D51" s="46">
        <f t="shared" si="16"/>
        <v>9649</v>
      </c>
      <c r="E51" s="46">
        <f t="shared" si="16"/>
        <v>8431</v>
      </c>
      <c r="F51" s="46">
        <f t="shared" si="16"/>
        <v>10295</v>
      </c>
      <c r="G51" s="46">
        <f t="shared" si="16"/>
        <v>9256</v>
      </c>
      <c r="H51" s="46">
        <f t="shared" si="16"/>
        <v>11112</v>
      </c>
      <c r="I51" s="46">
        <f t="shared" si="16"/>
        <v>14651</v>
      </c>
      <c r="J51" s="46">
        <f t="shared" si="16"/>
        <v>11985</v>
      </c>
      <c r="K51" s="46">
        <f t="shared" si="16"/>
        <v>12685</v>
      </c>
      <c r="L51" s="46">
        <f t="shared" si="16"/>
        <v>13410</v>
      </c>
      <c r="M51" s="46">
        <f t="shared" si="16"/>
        <v>10834</v>
      </c>
      <c r="N51" s="46">
        <f t="shared" si="16"/>
        <v>133976</v>
      </c>
      <c r="O51" s="12"/>
      <c r="P51" s="115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</row>
    <row r="52" spans="1:27" x14ac:dyDescent="0.25">
      <c r="A52" s="13" t="s">
        <v>68</v>
      </c>
      <c r="B52" s="49">
        <f>B14-B51</f>
        <v>5737</v>
      </c>
      <c r="C52" s="49">
        <f t="shared" ref="C52:N52" si="17">C14-C51</f>
        <v>10321</v>
      </c>
      <c r="D52" s="49">
        <f t="shared" si="17"/>
        <v>7480</v>
      </c>
      <c r="E52" s="49">
        <f t="shared" si="17"/>
        <v>5795</v>
      </c>
      <c r="F52" s="49">
        <f t="shared" si="17"/>
        <v>8369</v>
      </c>
      <c r="G52" s="49">
        <f t="shared" si="17"/>
        <v>6336</v>
      </c>
      <c r="H52" s="49">
        <f t="shared" si="17"/>
        <v>7667</v>
      </c>
      <c r="I52" s="49">
        <f t="shared" si="17"/>
        <v>10273</v>
      </c>
      <c r="J52" s="49">
        <f t="shared" si="17"/>
        <v>9525</v>
      </c>
      <c r="K52" s="49">
        <f t="shared" si="17"/>
        <v>9849</v>
      </c>
      <c r="L52" s="49">
        <f t="shared" si="17"/>
        <v>4686</v>
      </c>
      <c r="M52" s="49">
        <f t="shared" si="17"/>
        <v>7603</v>
      </c>
      <c r="N52" s="49">
        <f t="shared" si="17"/>
        <v>93643</v>
      </c>
      <c r="O52" s="12"/>
      <c r="P52" s="115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</row>
    <row r="53" spans="1:27" x14ac:dyDescent="0.25">
      <c r="A53" s="50" t="s">
        <v>69</v>
      </c>
      <c r="B53" s="51">
        <f>B52/B14</f>
        <v>0.35499040900934348</v>
      </c>
      <c r="C53" s="51">
        <f t="shared" ref="C53:N53" si="18">C52/C14</f>
        <v>0.47855520007418739</v>
      </c>
      <c r="D53" s="51">
        <f t="shared" si="18"/>
        <v>0.43668632144316655</v>
      </c>
      <c r="E53" s="51">
        <f t="shared" si="18"/>
        <v>0.40735273442991704</v>
      </c>
      <c r="F53" s="51">
        <f t="shared" si="18"/>
        <v>0.44840334333476212</v>
      </c>
      <c r="G53" s="51">
        <f t="shared" si="18"/>
        <v>0.40636223704463825</v>
      </c>
      <c r="H53" s="51">
        <f t="shared" si="18"/>
        <v>0.40827520102241865</v>
      </c>
      <c r="I53" s="51">
        <f t="shared" si="18"/>
        <v>0.41217300593805167</v>
      </c>
      <c r="J53" s="51">
        <f t="shared" si="18"/>
        <v>0.44281729428172945</v>
      </c>
      <c r="K53" s="51">
        <f t="shared" si="18"/>
        <v>0.43707286766663705</v>
      </c>
      <c r="L53" s="51">
        <f t="shared" si="18"/>
        <v>0.2589522546419098</v>
      </c>
      <c r="M53" s="51">
        <f t="shared" si="18"/>
        <v>0.41237728480772362</v>
      </c>
      <c r="N53" s="51">
        <f t="shared" si="18"/>
        <v>0.41140238732267514</v>
      </c>
      <c r="O53" s="12"/>
      <c r="P53" s="115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</row>
    <row r="54" spans="1:27" x14ac:dyDescent="0.25">
      <c r="A54" s="13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12"/>
      <c r="P54" s="115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</row>
    <row r="55" spans="1:27" ht="18" x14ac:dyDescent="0.25">
      <c r="A55" s="48" t="s">
        <v>70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12"/>
      <c r="P55" s="115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</row>
    <row r="56" spans="1:27" x14ac:dyDescent="0.25">
      <c r="A56" s="13" t="s">
        <v>71</v>
      </c>
      <c r="B56" s="6">
        <v>151</v>
      </c>
      <c r="C56" s="6">
        <v>146</v>
      </c>
      <c r="D56" s="6">
        <v>212</v>
      </c>
      <c r="E56" s="6">
        <v>216</v>
      </c>
      <c r="F56" s="6">
        <v>303</v>
      </c>
      <c r="G56" s="6">
        <v>240</v>
      </c>
      <c r="H56" s="6">
        <v>202</v>
      </c>
      <c r="I56" s="6">
        <v>274</v>
      </c>
      <c r="J56" s="6">
        <v>243</v>
      </c>
      <c r="K56" s="6">
        <v>364</v>
      </c>
      <c r="L56" s="6">
        <v>385</v>
      </c>
      <c r="M56" s="6">
        <v>297</v>
      </c>
      <c r="N56" s="6">
        <v>3032</v>
      </c>
      <c r="O56" s="12"/>
      <c r="P56" s="115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</row>
    <row r="57" spans="1:27" x14ac:dyDescent="0.25">
      <c r="A57" s="13" t="s">
        <v>72</v>
      </c>
      <c r="B57" s="6">
        <v>169</v>
      </c>
      <c r="C57" s="6">
        <v>175</v>
      </c>
      <c r="D57" s="6">
        <v>200</v>
      </c>
      <c r="E57" s="6">
        <v>234</v>
      </c>
      <c r="F57" s="6">
        <v>353</v>
      </c>
      <c r="G57" s="6">
        <v>318</v>
      </c>
      <c r="H57" s="6">
        <v>257</v>
      </c>
      <c r="I57" s="6">
        <v>261</v>
      </c>
      <c r="J57" s="6">
        <v>415</v>
      </c>
      <c r="K57" s="6">
        <v>507</v>
      </c>
      <c r="L57" s="6">
        <v>614</v>
      </c>
      <c r="M57" s="6">
        <v>338</v>
      </c>
      <c r="N57" s="6">
        <v>3840</v>
      </c>
      <c r="O57" s="12"/>
      <c r="P57" s="115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</row>
    <row r="58" spans="1:27" x14ac:dyDescent="0.25">
      <c r="A58" s="13" t="s">
        <v>73</v>
      </c>
      <c r="B58" s="6">
        <v>0</v>
      </c>
      <c r="C58" s="6">
        <v>0</v>
      </c>
      <c r="D58" s="6">
        <v>0</v>
      </c>
      <c r="E58" s="6">
        <v>0</v>
      </c>
      <c r="F58" s="6">
        <v>0</v>
      </c>
      <c r="G58" s="6">
        <v>0</v>
      </c>
      <c r="H58" s="6">
        <v>0</v>
      </c>
      <c r="I58" s="6">
        <v>106</v>
      </c>
      <c r="J58" s="6">
        <v>0</v>
      </c>
      <c r="K58" s="6">
        <v>15</v>
      </c>
      <c r="L58" s="6">
        <v>0</v>
      </c>
      <c r="M58" s="6">
        <v>528</v>
      </c>
      <c r="N58" s="6">
        <v>649</v>
      </c>
      <c r="O58" s="12"/>
      <c r="P58" s="115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</row>
    <row r="59" spans="1:27" x14ac:dyDescent="0.25">
      <c r="A59" s="13" t="s">
        <v>74</v>
      </c>
      <c r="B59" s="46">
        <f>SUM(B56:B58)</f>
        <v>320</v>
      </c>
      <c r="C59" s="46">
        <f t="shared" ref="C59:N59" si="19">SUM(C56:C58)</f>
        <v>321</v>
      </c>
      <c r="D59" s="46">
        <f t="shared" si="19"/>
        <v>412</v>
      </c>
      <c r="E59" s="46">
        <f t="shared" si="19"/>
        <v>450</v>
      </c>
      <c r="F59" s="46">
        <f t="shared" si="19"/>
        <v>656</v>
      </c>
      <c r="G59" s="46">
        <f t="shared" si="19"/>
        <v>558</v>
      </c>
      <c r="H59" s="46">
        <f t="shared" si="19"/>
        <v>459</v>
      </c>
      <c r="I59" s="46">
        <f t="shared" si="19"/>
        <v>641</v>
      </c>
      <c r="J59" s="46">
        <f t="shared" si="19"/>
        <v>658</v>
      </c>
      <c r="K59" s="46">
        <f t="shared" si="19"/>
        <v>886</v>
      </c>
      <c r="L59" s="46">
        <f t="shared" si="19"/>
        <v>999</v>
      </c>
      <c r="M59" s="46">
        <f t="shared" si="19"/>
        <v>1163</v>
      </c>
      <c r="N59" s="46">
        <f t="shared" si="19"/>
        <v>7521</v>
      </c>
      <c r="O59" s="12"/>
      <c r="P59" s="115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</row>
    <row r="60" spans="1:27" x14ac:dyDescent="0.25">
      <c r="A60" s="13" t="s">
        <v>75</v>
      </c>
      <c r="B60" s="49">
        <f>B18-B59</f>
        <v>318</v>
      </c>
      <c r="C60" s="49">
        <f t="shared" ref="C60:N60" si="20">C18-C59</f>
        <v>330</v>
      </c>
      <c r="D60" s="49">
        <f t="shared" si="20"/>
        <v>778</v>
      </c>
      <c r="E60" s="49">
        <f t="shared" si="20"/>
        <v>1363</v>
      </c>
      <c r="F60" s="49">
        <f t="shared" si="20"/>
        <v>1082</v>
      </c>
      <c r="G60" s="49">
        <f t="shared" si="20"/>
        <v>591</v>
      </c>
      <c r="H60" s="49">
        <f t="shared" si="20"/>
        <v>179</v>
      </c>
      <c r="I60" s="49">
        <f t="shared" si="20"/>
        <v>325</v>
      </c>
      <c r="J60" s="49">
        <f t="shared" si="20"/>
        <v>1155</v>
      </c>
      <c r="K60" s="49">
        <f t="shared" si="20"/>
        <v>1480</v>
      </c>
      <c r="L60" s="49">
        <f t="shared" si="20"/>
        <v>1838</v>
      </c>
      <c r="M60" s="49">
        <f t="shared" si="20"/>
        <v>547</v>
      </c>
      <c r="N60" s="49">
        <f t="shared" si="20"/>
        <v>9988</v>
      </c>
      <c r="O60" s="12"/>
      <c r="P60" s="115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</row>
    <row r="61" spans="1:27" x14ac:dyDescent="0.25">
      <c r="A61" s="50" t="s">
        <v>76</v>
      </c>
      <c r="B61" s="51">
        <f>B60/B18</f>
        <v>0.49843260188087773</v>
      </c>
      <c r="C61" s="51">
        <f t="shared" ref="C61:N61" si="21">C60/C18</f>
        <v>0.50691244239631339</v>
      </c>
      <c r="D61" s="51">
        <f t="shared" si="21"/>
        <v>0.65378151260504203</v>
      </c>
      <c r="E61" s="51">
        <f t="shared" si="21"/>
        <v>0.75179260893546607</v>
      </c>
      <c r="F61" s="51">
        <f t="shared" si="21"/>
        <v>0.62255466052934405</v>
      </c>
      <c r="G61" s="51">
        <f t="shared" si="21"/>
        <v>0.51436031331592691</v>
      </c>
      <c r="H61" s="51">
        <f t="shared" si="21"/>
        <v>0.28056426332288403</v>
      </c>
      <c r="I61" s="51">
        <f t="shared" si="21"/>
        <v>0.33643892339544512</v>
      </c>
      <c r="J61" s="51">
        <f t="shared" si="21"/>
        <v>0.63706563706563701</v>
      </c>
      <c r="K61" s="51">
        <f t="shared" si="21"/>
        <v>0.62552831783601015</v>
      </c>
      <c r="L61" s="51">
        <f t="shared" si="21"/>
        <v>0.64786746563271058</v>
      </c>
      <c r="M61" s="51">
        <f t="shared" si="21"/>
        <v>0.31988304093567249</v>
      </c>
      <c r="N61" s="51">
        <f t="shared" si="21"/>
        <v>0.57044948312296528</v>
      </c>
      <c r="O61" s="12"/>
      <c r="P61" s="115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</row>
    <row r="62" spans="1:27" x14ac:dyDescent="0.25">
      <c r="A62" s="13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12"/>
      <c r="P62" s="115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</row>
    <row r="63" spans="1:27" x14ac:dyDescent="0.25">
      <c r="A63" s="13" t="s">
        <v>77</v>
      </c>
      <c r="B63" s="6"/>
      <c r="C63" s="6"/>
      <c r="D63" s="6"/>
      <c r="E63" s="6"/>
      <c r="F63" s="6"/>
      <c r="G63" s="6"/>
      <c r="H63" s="6"/>
      <c r="I63" s="6">
        <v>1017</v>
      </c>
      <c r="J63" s="6">
        <v>840</v>
      </c>
      <c r="K63" s="6">
        <v>1238</v>
      </c>
      <c r="L63" s="6">
        <v>751</v>
      </c>
      <c r="M63" s="6">
        <v>575</v>
      </c>
      <c r="N63" s="43">
        <v>4420</v>
      </c>
      <c r="O63" s="12"/>
      <c r="P63" s="115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</row>
    <row r="64" spans="1:27" x14ac:dyDescent="0.25">
      <c r="A64" s="13" t="s">
        <v>78</v>
      </c>
      <c r="B64" s="6"/>
      <c r="C64" s="6"/>
      <c r="D64" s="6"/>
      <c r="E64" s="6"/>
      <c r="F64" s="6"/>
      <c r="G64" s="6"/>
      <c r="H64" s="6"/>
      <c r="I64" s="6">
        <v>353</v>
      </c>
      <c r="J64" s="6">
        <v>409</v>
      </c>
      <c r="K64" s="6">
        <v>427</v>
      </c>
      <c r="L64" s="6">
        <v>409</v>
      </c>
      <c r="M64" s="6">
        <v>260</v>
      </c>
      <c r="N64" s="43">
        <v>1858</v>
      </c>
      <c r="O64" s="12"/>
      <c r="P64" s="115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</row>
    <row r="65" spans="1:27" x14ac:dyDescent="0.25">
      <c r="A65" s="13" t="s">
        <v>79</v>
      </c>
      <c r="B65" s="114">
        <f>SUM(B63:B64)</f>
        <v>0</v>
      </c>
      <c r="C65" s="114">
        <f t="shared" ref="C65:N65" si="22">SUM(C63:C64)</f>
        <v>0</v>
      </c>
      <c r="D65" s="114">
        <f t="shared" si="22"/>
        <v>0</v>
      </c>
      <c r="E65" s="114">
        <f t="shared" si="22"/>
        <v>0</v>
      </c>
      <c r="F65" s="114">
        <f t="shared" si="22"/>
        <v>0</v>
      </c>
      <c r="G65" s="114">
        <f t="shared" si="22"/>
        <v>0</v>
      </c>
      <c r="H65" s="114">
        <f t="shared" si="22"/>
        <v>0</v>
      </c>
      <c r="I65" s="114">
        <f t="shared" si="22"/>
        <v>1370</v>
      </c>
      <c r="J65" s="114">
        <f t="shared" si="22"/>
        <v>1249</v>
      </c>
      <c r="K65" s="114">
        <f t="shared" si="22"/>
        <v>1665</v>
      </c>
      <c r="L65" s="114">
        <f t="shared" si="22"/>
        <v>1160</v>
      </c>
      <c r="M65" s="114">
        <f t="shared" si="22"/>
        <v>835</v>
      </c>
      <c r="N65" s="114">
        <f t="shared" si="22"/>
        <v>6278</v>
      </c>
      <c r="O65" s="12"/>
      <c r="P65" s="115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</row>
    <row r="66" spans="1:27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2"/>
      <c r="P66" s="115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</row>
    <row r="67" spans="1:27" x14ac:dyDescent="0.25">
      <c r="A67" s="13" t="s">
        <v>83</v>
      </c>
      <c r="B67" s="46">
        <f>B29+B36+B43+B51+B59+B65</f>
        <v>15541</v>
      </c>
      <c r="C67" s="46">
        <f t="shared" ref="C67:N67" si="23">C29+C36+C43+C51+C59+C65</f>
        <v>16912</v>
      </c>
      <c r="D67" s="46">
        <f t="shared" si="23"/>
        <v>15112</v>
      </c>
      <c r="E67" s="46">
        <f t="shared" si="23"/>
        <v>14921</v>
      </c>
      <c r="F67" s="46">
        <f t="shared" si="23"/>
        <v>18285</v>
      </c>
      <c r="G67" s="46">
        <f t="shared" si="23"/>
        <v>16865</v>
      </c>
      <c r="H67" s="46">
        <f t="shared" si="23"/>
        <v>16774</v>
      </c>
      <c r="I67" s="46">
        <f t="shared" si="23"/>
        <v>22030</v>
      </c>
      <c r="J67" s="46">
        <f t="shared" si="23"/>
        <v>21084</v>
      </c>
      <c r="K67" s="46">
        <f t="shared" si="23"/>
        <v>24120</v>
      </c>
      <c r="L67" s="46">
        <f t="shared" si="23"/>
        <v>25545</v>
      </c>
      <c r="M67" s="46">
        <f t="shared" si="23"/>
        <v>20927</v>
      </c>
      <c r="N67" s="46">
        <f t="shared" si="23"/>
        <v>228110</v>
      </c>
      <c r="O67" s="12"/>
      <c r="P67" s="115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</row>
    <row r="68" spans="1:27" x14ac:dyDescent="0.25">
      <c r="A68" s="13" t="s">
        <v>84</v>
      </c>
      <c r="B68" s="46">
        <f>B22-B67</f>
        <v>7247</v>
      </c>
      <c r="C68" s="46">
        <f t="shared" ref="C68:N68" si="24">C22-C67</f>
        <v>10401</v>
      </c>
      <c r="D68" s="46">
        <f t="shared" si="24"/>
        <v>8984</v>
      </c>
      <c r="E68" s="46">
        <f t="shared" si="24"/>
        <v>10153</v>
      </c>
      <c r="F68" s="46">
        <f t="shared" si="24"/>
        <v>12666</v>
      </c>
      <c r="G68" s="46">
        <f t="shared" si="24"/>
        <v>9784</v>
      </c>
      <c r="H68" s="46">
        <f t="shared" si="24"/>
        <v>8622</v>
      </c>
      <c r="I68" s="46">
        <f t="shared" si="24"/>
        <v>9445</v>
      </c>
      <c r="J68" s="46">
        <f t="shared" si="24"/>
        <v>12368</v>
      </c>
      <c r="K68" s="46">
        <f t="shared" si="24"/>
        <v>11495</v>
      </c>
      <c r="L68" s="46">
        <f t="shared" si="24"/>
        <v>11925</v>
      </c>
      <c r="M68" s="46">
        <f t="shared" si="24"/>
        <v>12067</v>
      </c>
      <c r="N68" s="46">
        <f t="shared" si="24"/>
        <v>125163</v>
      </c>
      <c r="O68" s="12"/>
      <c r="P68" s="115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</row>
    <row r="69" spans="1:27" x14ac:dyDescent="0.25">
      <c r="A69" s="50" t="s">
        <v>85</v>
      </c>
      <c r="B69" s="51">
        <f>B68/B22</f>
        <v>0.31801825522204669</v>
      </c>
      <c r="C69" s="51">
        <f t="shared" ref="C69:N69" si="25">C68/C22</f>
        <v>0.38080767400139126</v>
      </c>
      <c r="D69" s="51">
        <f t="shared" si="25"/>
        <v>0.37284196547144755</v>
      </c>
      <c r="E69" s="51">
        <f t="shared" si="25"/>
        <v>0.40492143255962354</v>
      </c>
      <c r="F69" s="51">
        <f t="shared" si="25"/>
        <v>0.40922748861103037</v>
      </c>
      <c r="G69" s="51">
        <f t="shared" si="25"/>
        <v>0.36714323239145935</v>
      </c>
      <c r="H69" s="51">
        <f t="shared" si="25"/>
        <v>0.33950228382422426</v>
      </c>
      <c r="I69" s="51">
        <f t="shared" si="25"/>
        <v>0.30007942811755361</v>
      </c>
      <c r="J69" s="51">
        <f t="shared" si="25"/>
        <v>0.36972378333134043</v>
      </c>
      <c r="K69" s="51">
        <f t="shared" si="25"/>
        <v>0.32275726519724834</v>
      </c>
      <c r="L69" s="51">
        <f t="shared" si="25"/>
        <v>0.31825460368294634</v>
      </c>
      <c r="M69" s="51">
        <f t="shared" si="25"/>
        <v>0.36573316360550401</v>
      </c>
      <c r="N69" s="51">
        <f t="shared" si="25"/>
        <v>0.35429540327169073</v>
      </c>
      <c r="O69" s="12"/>
      <c r="P69" s="115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</row>
    <row r="70" spans="1:27" x14ac:dyDescent="0.25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12"/>
      <c r="P70" s="115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</row>
    <row r="71" spans="1:27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6"/>
      <c r="P71" s="115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</row>
    <row r="72" spans="1:27" x14ac:dyDescent="0.25">
      <c r="A72" s="13" t="s">
        <v>86</v>
      </c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</row>
    <row r="73" spans="1:27" ht="20.100000000000001" hidden="1" customHeight="1" x14ac:dyDescent="0.25">
      <c r="A73" s="13" t="s">
        <v>87</v>
      </c>
      <c r="B73" s="6">
        <v>250</v>
      </c>
      <c r="C73" s="18">
        <v>1931.2</v>
      </c>
      <c r="D73" s="6">
        <v>250</v>
      </c>
      <c r="E73" s="6">
        <v>250</v>
      </c>
      <c r="F73" s="6">
        <v>250</v>
      </c>
      <c r="G73" s="6">
        <v>250</v>
      </c>
      <c r="H73" s="6">
        <v>250</v>
      </c>
      <c r="I73" s="6">
        <v>399.43</v>
      </c>
      <c r="J73" s="6">
        <v>250</v>
      </c>
      <c r="K73" s="6">
        <v>250</v>
      </c>
      <c r="L73" s="6">
        <v>250</v>
      </c>
      <c r="M73" s="6">
        <v>250</v>
      </c>
      <c r="N73" s="18">
        <v>4830.63</v>
      </c>
      <c r="O73" s="6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</row>
    <row r="74" spans="1:27" ht="20.100000000000001" hidden="1" customHeight="1" x14ac:dyDescent="0.25">
      <c r="A74" s="13" t="s">
        <v>88</v>
      </c>
      <c r="B74" s="6"/>
      <c r="C74" s="6"/>
      <c r="D74" s="6">
        <v>200</v>
      </c>
      <c r="E74" s="6">
        <v>100</v>
      </c>
      <c r="F74" s="6">
        <v>250</v>
      </c>
      <c r="G74" s="6">
        <v>112.24</v>
      </c>
      <c r="H74" s="6"/>
      <c r="I74" s="6">
        <v>450</v>
      </c>
      <c r="J74" s="6">
        <v>50</v>
      </c>
      <c r="K74" s="6">
        <v>25</v>
      </c>
      <c r="L74" s="6"/>
      <c r="M74" s="6">
        <v>200</v>
      </c>
      <c r="N74" s="18">
        <v>1387.24</v>
      </c>
      <c r="O74" s="6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</row>
    <row r="75" spans="1:27" ht="20.100000000000001" hidden="1" customHeight="1" x14ac:dyDescent="0.25">
      <c r="A75" s="13" t="s">
        <v>89</v>
      </c>
      <c r="B75" s="6"/>
      <c r="C75" s="6"/>
      <c r="D75" s="6">
        <v>51.55</v>
      </c>
      <c r="E75" s="6">
        <v>58.65</v>
      </c>
      <c r="F75" s="6">
        <v>40.549999999999997</v>
      </c>
      <c r="G75" s="6">
        <v>76.55</v>
      </c>
      <c r="H75" s="6">
        <v>42.97</v>
      </c>
      <c r="I75" s="6">
        <v>86.55</v>
      </c>
      <c r="J75" s="6">
        <v>55.65</v>
      </c>
      <c r="K75" s="6">
        <v>44.55</v>
      </c>
      <c r="L75" s="6">
        <v>3.9</v>
      </c>
      <c r="M75" s="6"/>
      <c r="N75" s="6">
        <v>460.92</v>
      </c>
      <c r="O75" s="6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</row>
    <row r="76" spans="1:27" ht="20.100000000000001" hidden="1" customHeight="1" x14ac:dyDescent="0.25">
      <c r="A76" s="13" t="s">
        <v>90</v>
      </c>
      <c r="B76" s="6">
        <v>500</v>
      </c>
      <c r="C76" s="6">
        <v>500</v>
      </c>
      <c r="D76" s="6">
        <v>500</v>
      </c>
      <c r="E76" s="6">
        <v>500</v>
      </c>
      <c r="F76" s="6">
        <v>500</v>
      </c>
      <c r="G76" s="6">
        <v>500</v>
      </c>
      <c r="H76" s="6">
        <v>500</v>
      </c>
      <c r="I76" s="6">
        <v>752.41</v>
      </c>
      <c r="J76" s="6">
        <v>500</v>
      </c>
      <c r="K76" s="6">
        <v>500</v>
      </c>
      <c r="L76" s="6">
        <v>500</v>
      </c>
      <c r="M76" s="6">
        <v>500</v>
      </c>
      <c r="N76" s="18">
        <v>6252.41</v>
      </c>
      <c r="O76" s="6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</row>
    <row r="77" spans="1:27" x14ac:dyDescent="0.25">
      <c r="A77" s="13" t="s">
        <v>91</v>
      </c>
      <c r="B77" s="53">
        <v>750</v>
      </c>
      <c r="C77" s="53">
        <v>2431.1999999999998</v>
      </c>
      <c r="D77" s="53">
        <v>1001.55</v>
      </c>
      <c r="E77" s="53">
        <v>908.65</v>
      </c>
      <c r="F77" s="53">
        <v>1040.55</v>
      </c>
      <c r="G77" s="53">
        <v>938.79</v>
      </c>
      <c r="H77" s="53">
        <v>792.97</v>
      </c>
      <c r="I77" s="53">
        <v>1688.39</v>
      </c>
      <c r="J77" s="53">
        <v>855.65</v>
      </c>
      <c r="K77" s="53">
        <v>819.55</v>
      </c>
      <c r="L77" s="53">
        <v>753.9</v>
      </c>
      <c r="M77" s="53">
        <v>950</v>
      </c>
      <c r="N77" s="53">
        <v>12931.2</v>
      </c>
      <c r="O77" s="6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</row>
    <row r="78" spans="1:27" x14ac:dyDescent="0.25">
      <c r="A78" s="13" t="s">
        <v>92</v>
      </c>
      <c r="B78" s="6">
        <v>750</v>
      </c>
      <c r="C78" s="6">
        <v>750</v>
      </c>
      <c r="D78" s="6">
        <v>750</v>
      </c>
      <c r="E78" s="6">
        <v>750</v>
      </c>
      <c r="F78" s="6">
        <v>750</v>
      </c>
      <c r="G78" s="6">
        <v>750</v>
      </c>
      <c r="H78" s="6">
        <v>750</v>
      </c>
      <c r="I78" s="6">
        <v>750</v>
      </c>
      <c r="J78" s="6">
        <v>750</v>
      </c>
      <c r="K78" s="6">
        <v>750</v>
      </c>
      <c r="L78" s="6">
        <v>750</v>
      </c>
      <c r="M78" s="6">
        <v>826.42</v>
      </c>
      <c r="N78" s="18">
        <v>9076.42</v>
      </c>
      <c r="O78" s="6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</row>
    <row r="79" spans="1:27" hidden="1" x14ac:dyDescent="0.25">
      <c r="A79" s="13" t="s">
        <v>93</v>
      </c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>
        <v>0</v>
      </c>
      <c r="O79" s="6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</row>
    <row r="80" spans="1:27" hidden="1" x14ac:dyDescent="0.25">
      <c r="A80" s="13" t="s">
        <v>94</v>
      </c>
      <c r="B80" s="6"/>
      <c r="C80" s="6"/>
      <c r="D80" s="6"/>
      <c r="E80" s="6"/>
      <c r="F80" s="6"/>
      <c r="G80" s="6">
        <v>97.96</v>
      </c>
      <c r="H80" s="6"/>
      <c r="I80" s="6"/>
      <c r="J80" s="6"/>
      <c r="K80" s="6"/>
      <c r="L80" s="6"/>
      <c r="M80" s="6"/>
      <c r="N80" s="6">
        <v>97.96</v>
      </c>
      <c r="O80" s="6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</row>
    <row r="81" spans="1:27" hidden="1" x14ac:dyDescent="0.25">
      <c r="A81" s="13" t="s">
        <v>95</v>
      </c>
      <c r="B81" s="6">
        <v>103.56</v>
      </c>
      <c r="C81" s="6">
        <v>106.46</v>
      </c>
      <c r="D81" s="6">
        <v>118.44</v>
      </c>
      <c r="E81" s="6">
        <v>165.13</v>
      </c>
      <c r="F81" s="6">
        <v>167.55</v>
      </c>
      <c r="G81" s="6">
        <v>163.69999999999999</v>
      </c>
      <c r="H81" s="6">
        <v>126.24</v>
      </c>
      <c r="I81" s="6">
        <v>93.22</v>
      </c>
      <c r="J81" s="6">
        <v>109.01</v>
      </c>
      <c r="K81" s="6">
        <v>135.97</v>
      </c>
      <c r="L81" s="6">
        <v>132.30000000000001</v>
      </c>
      <c r="M81" s="6">
        <v>145.02000000000001</v>
      </c>
      <c r="N81" s="18">
        <v>1566.6</v>
      </c>
      <c r="O81" s="6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</row>
    <row r="82" spans="1:27" hidden="1" x14ac:dyDescent="0.25">
      <c r="A82" s="13" t="s">
        <v>96</v>
      </c>
      <c r="B82" s="6">
        <v>5.37</v>
      </c>
      <c r="C82" s="6">
        <v>4.29</v>
      </c>
      <c r="D82" s="6">
        <v>8.0500000000000007</v>
      </c>
      <c r="E82" s="6"/>
      <c r="F82" s="6">
        <v>1.28</v>
      </c>
      <c r="G82" s="6">
        <v>6.45</v>
      </c>
      <c r="H82" s="6">
        <v>4.21</v>
      </c>
      <c r="I82" s="6">
        <v>6.89</v>
      </c>
      <c r="J82" s="6">
        <v>8.43</v>
      </c>
      <c r="K82" s="6">
        <v>4.3899999999999997</v>
      </c>
      <c r="L82" s="6"/>
      <c r="M82" s="6">
        <v>8.4499999999999993</v>
      </c>
      <c r="N82" s="6">
        <v>57.81</v>
      </c>
      <c r="O82" s="6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</row>
    <row r="83" spans="1:27" hidden="1" x14ac:dyDescent="0.25">
      <c r="A83" s="13" t="s">
        <v>97</v>
      </c>
      <c r="B83" s="6">
        <v>37.72</v>
      </c>
      <c r="C83" s="6">
        <v>45.04</v>
      </c>
      <c r="D83" s="6">
        <v>57.61</v>
      </c>
      <c r="E83" s="6">
        <v>66.67</v>
      </c>
      <c r="F83" s="6">
        <v>60.27</v>
      </c>
      <c r="G83" s="6">
        <v>53.63</v>
      </c>
      <c r="H83" s="6">
        <v>68.11</v>
      </c>
      <c r="I83" s="6">
        <v>95.96</v>
      </c>
      <c r="J83" s="6">
        <v>76.75</v>
      </c>
      <c r="K83" s="6">
        <v>110.66</v>
      </c>
      <c r="L83" s="6">
        <v>75.95</v>
      </c>
      <c r="M83" s="6">
        <v>74.930000000000007</v>
      </c>
      <c r="N83" s="6">
        <v>823.3</v>
      </c>
      <c r="O83" s="6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</row>
    <row r="84" spans="1:27" hidden="1" x14ac:dyDescent="0.25">
      <c r="A84" s="13" t="s">
        <v>98</v>
      </c>
      <c r="B84" s="6">
        <v>341.6</v>
      </c>
      <c r="C84" s="6">
        <v>434.18</v>
      </c>
      <c r="D84" s="6">
        <v>342.85</v>
      </c>
      <c r="E84" s="6">
        <v>287.10000000000002</v>
      </c>
      <c r="F84" s="6">
        <v>378.43</v>
      </c>
      <c r="G84" s="6">
        <v>313.27999999999997</v>
      </c>
      <c r="H84" s="6">
        <v>383.68</v>
      </c>
      <c r="I84" s="6">
        <v>497.99</v>
      </c>
      <c r="J84" s="6">
        <v>434.05</v>
      </c>
      <c r="K84" s="6">
        <v>455.43</v>
      </c>
      <c r="L84" s="6">
        <v>380.1</v>
      </c>
      <c r="M84" s="6">
        <v>361.43</v>
      </c>
      <c r="N84" s="18">
        <v>4610.12</v>
      </c>
      <c r="O84" s="6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</row>
    <row r="85" spans="1:27" x14ac:dyDescent="0.25">
      <c r="A85" s="13" t="s">
        <v>99</v>
      </c>
      <c r="B85" s="53">
        <v>488.25</v>
      </c>
      <c r="C85" s="53">
        <v>589.97</v>
      </c>
      <c r="D85" s="53">
        <v>526.95000000000005</v>
      </c>
      <c r="E85" s="53">
        <v>518.9</v>
      </c>
      <c r="F85" s="53">
        <v>607.53</v>
      </c>
      <c r="G85" s="53">
        <v>537.05999999999995</v>
      </c>
      <c r="H85" s="53">
        <v>582.24</v>
      </c>
      <c r="I85" s="53">
        <v>694.06</v>
      </c>
      <c r="J85" s="53">
        <v>628.24</v>
      </c>
      <c r="K85" s="53">
        <v>706.45</v>
      </c>
      <c r="L85" s="53">
        <v>588.35</v>
      </c>
      <c r="M85" s="53">
        <v>589.83000000000004</v>
      </c>
      <c r="N85" s="53">
        <v>7057.83</v>
      </c>
      <c r="O85" s="6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</row>
    <row r="86" spans="1:27" hidden="1" x14ac:dyDescent="0.25">
      <c r="A86" s="13" t="s">
        <v>100</v>
      </c>
      <c r="B86" s="6"/>
      <c r="C86" s="6"/>
      <c r="D86" s="6"/>
      <c r="E86" s="6"/>
      <c r="F86" s="6"/>
      <c r="G86" s="6">
        <v>74</v>
      </c>
      <c r="H86" s="6"/>
      <c r="I86" s="6"/>
      <c r="J86" s="6"/>
      <c r="K86" s="6"/>
      <c r="L86" s="6"/>
      <c r="M86" s="6">
        <v>100</v>
      </c>
      <c r="N86" s="6">
        <v>174</v>
      </c>
      <c r="O86" s="12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</row>
    <row r="87" spans="1:27" hidden="1" x14ac:dyDescent="0.25">
      <c r="A87" s="13" t="s">
        <v>101</v>
      </c>
      <c r="B87" s="6">
        <v>17.32</v>
      </c>
      <c r="C87" s="6">
        <v>29.63</v>
      </c>
      <c r="D87" s="6">
        <v>9.66</v>
      </c>
      <c r="E87" s="6">
        <v>151.71</v>
      </c>
      <c r="F87" s="6">
        <v>76.55</v>
      </c>
      <c r="G87" s="6">
        <v>42.97</v>
      </c>
      <c r="H87" s="6">
        <v>86.55</v>
      </c>
      <c r="I87" s="6">
        <v>29.15</v>
      </c>
      <c r="J87" s="6">
        <v>2</v>
      </c>
      <c r="K87" s="6">
        <v>44.21</v>
      </c>
      <c r="L87" s="6">
        <v>56.25</v>
      </c>
      <c r="M87" s="6">
        <v>128.94</v>
      </c>
      <c r="N87" s="6">
        <v>674.94</v>
      </c>
      <c r="O87" s="6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</row>
    <row r="88" spans="1:27" hidden="1" x14ac:dyDescent="0.25">
      <c r="A88" s="13" t="s">
        <v>102</v>
      </c>
      <c r="B88" s="6">
        <v>110</v>
      </c>
      <c r="C88" s="6"/>
      <c r="D88" s="6">
        <v>168.98</v>
      </c>
      <c r="E88" s="6">
        <v>261.29000000000002</v>
      </c>
      <c r="F88" s="6"/>
      <c r="G88" s="6"/>
      <c r="H88" s="6"/>
      <c r="I88" s="6"/>
      <c r="J88" s="6">
        <v>187.75</v>
      </c>
      <c r="K88" s="6"/>
      <c r="L88" s="6">
        <v>36</v>
      </c>
      <c r="M88" s="6"/>
      <c r="N88" s="6">
        <v>764.02</v>
      </c>
      <c r="O88" s="6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</row>
    <row r="89" spans="1:27" hidden="1" x14ac:dyDescent="0.25">
      <c r="A89" s="13" t="s">
        <v>103</v>
      </c>
      <c r="B89" s="6"/>
      <c r="C89" s="6"/>
      <c r="D89" s="6"/>
      <c r="E89" s="6"/>
      <c r="F89" s="6"/>
      <c r="G89" s="6"/>
      <c r="H89" s="6">
        <v>26.13</v>
      </c>
      <c r="I89" s="6"/>
      <c r="J89" s="6"/>
      <c r="K89" s="6"/>
      <c r="L89" s="6"/>
      <c r="M89" s="6"/>
      <c r="N89" s="6">
        <v>26.13</v>
      </c>
      <c r="O89" s="6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</row>
    <row r="90" spans="1:27" hidden="1" x14ac:dyDescent="0.25">
      <c r="A90" s="13" t="s">
        <v>104</v>
      </c>
      <c r="B90" s="6">
        <v>175</v>
      </c>
      <c r="C90" s="6">
        <v>175</v>
      </c>
      <c r="D90" s="6">
        <v>393.84</v>
      </c>
      <c r="E90" s="6">
        <v>175</v>
      </c>
      <c r="F90" s="6">
        <v>175</v>
      </c>
      <c r="G90" s="6">
        <v>175</v>
      </c>
      <c r="H90" s="6">
        <v>175</v>
      </c>
      <c r="I90" s="6">
        <v>175</v>
      </c>
      <c r="J90" s="6">
        <v>175</v>
      </c>
      <c r="K90" s="6">
        <v>175</v>
      </c>
      <c r="L90" s="6">
        <v>175</v>
      </c>
      <c r="M90" s="6">
        <v>175</v>
      </c>
      <c r="N90" s="18">
        <v>2318.84</v>
      </c>
      <c r="O90" s="6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</row>
    <row r="91" spans="1:27" hidden="1" x14ac:dyDescent="0.25">
      <c r="A91" s="13" t="s">
        <v>105</v>
      </c>
      <c r="B91" s="6">
        <v>91.66</v>
      </c>
      <c r="C91" s="6">
        <v>91.66</v>
      </c>
      <c r="D91" s="6">
        <v>91.66</v>
      </c>
      <c r="E91" s="6">
        <v>91.66</v>
      </c>
      <c r="F91" s="6">
        <v>91.66</v>
      </c>
      <c r="G91" s="6">
        <v>91.66</v>
      </c>
      <c r="H91" s="6">
        <v>91.66</v>
      </c>
      <c r="I91" s="6">
        <v>123.25</v>
      </c>
      <c r="J91" s="6">
        <v>91.66</v>
      </c>
      <c r="K91" s="6">
        <v>91.66</v>
      </c>
      <c r="L91" s="6">
        <v>91.66</v>
      </c>
      <c r="M91" s="6">
        <v>91.66</v>
      </c>
      <c r="N91" s="18">
        <v>1131.51</v>
      </c>
      <c r="O91" s="6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</row>
    <row r="92" spans="1:27" hidden="1" x14ac:dyDescent="0.25">
      <c r="A92" s="13" t="s">
        <v>106</v>
      </c>
      <c r="B92" s="6">
        <v>1.07</v>
      </c>
      <c r="C92" s="6">
        <v>2.0499999999999998</v>
      </c>
      <c r="D92" s="6">
        <v>20.07</v>
      </c>
      <c r="E92" s="6">
        <v>7.06</v>
      </c>
      <c r="F92" s="6">
        <v>22.14</v>
      </c>
      <c r="G92" s="6">
        <v>30.04</v>
      </c>
      <c r="H92" s="6">
        <v>5.56</v>
      </c>
      <c r="I92" s="6">
        <v>4.87</v>
      </c>
      <c r="J92" s="6">
        <v>51.55</v>
      </c>
      <c r="K92" s="6">
        <v>58.65</v>
      </c>
      <c r="L92" s="6">
        <v>40.549999999999997</v>
      </c>
      <c r="M92" s="18">
        <v>1958.45</v>
      </c>
      <c r="N92" s="18">
        <v>2202.06</v>
      </c>
      <c r="O92" s="6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</row>
    <row r="93" spans="1:27" hidden="1" x14ac:dyDescent="0.25">
      <c r="A93" s="13" t="s">
        <v>107</v>
      </c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>
        <v>0</v>
      </c>
      <c r="O93" s="6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</row>
    <row r="94" spans="1:27" hidden="1" x14ac:dyDescent="0.25">
      <c r="A94" s="13" t="s">
        <v>108</v>
      </c>
      <c r="B94" s="6"/>
      <c r="C94" s="6"/>
      <c r="D94" s="6"/>
      <c r="E94" s="6"/>
      <c r="F94" s="18">
        <v>1700</v>
      </c>
      <c r="G94" s="6"/>
      <c r="H94" s="6"/>
      <c r="I94" s="6">
        <v>131.05000000000001</v>
      </c>
      <c r="J94" s="6"/>
      <c r="K94" s="6"/>
      <c r="L94" s="6"/>
      <c r="M94" s="6"/>
      <c r="N94" s="18">
        <v>1831.05</v>
      </c>
      <c r="O94" s="6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</row>
    <row r="95" spans="1:27" hidden="1" x14ac:dyDescent="0.25">
      <c r="A95" s="13" t="s">
        <v>109</v>
      </c>
      <c r="B95" s="6">
        <v>257.54000000000002</v>
      </c>
      <c r="C95" s="6">
        <v>659.94</v>
      </c>
      <c r="D95" s="6">
        <v>808.54</v>
      </c>
      <c r="E95" s="6">
        <v>363.98</v>
      </c>
      <c r="F95" s="6">
        <v>409.63</v>
      </c>
      <c r="G95" s="6">
        <v>245.29</v>
      </c>
      <c r="H95" s="6">
        <v>381.06</v>
      </c>
      <c r="I95" s="6">
        <v>289.06</v>
      </c>
      <c r="J95" s="6">
        <v>276.48</v>
      </c>
      <c r="K95" s="6">
        <v>276.06</v>
      </c>
      <c r="L95" s="6">
        <v>275.38</v>
      </c>
      <c r="M95" s="6">
        <v>200.19</v>
      </c>
      <c r="N95" s="18">
        <v>4443.1499999999996</v>
      </c>
      <c r="O95" s="6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</row>
    <row r="96" spans="1:27" hidden="1" x14ac:dyDescent="0.25">
      <c r="A96" s="13" t="s">
        <v>110</v>
      </c>
      <c r="B96" s="6"/>
      <c r="C96" s="6"/>
      <c r="D96" s="6"/>
      <c r="E96" s="6"/>
      <c r="F96" s="6">
        <v>150.22</v>
      </c>
      <c r="G96" s="6"/>
      <c r="H96" s="6"/>
      <c r="I96" s="6"/>
      <c r="J96" s="6"/>
      <c r="K96" s="6"/>
      <c r="L96" s="6"/>
      <c r="M96" s="6"/>
      <c r="N96" s="6">
        <v>150.22</v>
      </c>
      <c r="O96" s="6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</row>
    <row r="97" spans="1:27" x14ac:dyDescent="0.25">
      <c r="A97" s="13" t="s">
        <v>111</v>
      </c>
      <c r="B97" s="53">
        <v>257.54000000000002</v>
      </c>
      <c r="C97" s="53">
        <v>659.94</v>
      </c>
      <c r="D97" s="53">
        <v>808.54</v>
      </c>
      <c r="E97" s="53">
        <v>363.98</v>
      </c>
      <c r="F97" s="53">
        <v>2259.85</v>
      </c>
      <c r="G97" s="53">
        <v>245.29</v>
      </c>
      <c r="H97" s="53">
        <v>381.06</v>
      </c>
      <c r="I97" s="53">
        <v>420.11</v>
      </c>
      <c r="J97" s="53">
        <v>276.48</v>
      </c>
      <c r="K97" s="53">
        <v>276.06</v>
      </c>
      <c r="L97" s="53">
        <v>275.38</v>
      </c>
      <c r="M97" s="53">
        <v>200.19</v>
      </c>
      <c r="N97" s="53">
        <v>6424.42</v>
      </c>
      <c r="O97" s="6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</row>
    <row r="98" spans="1:27" x14ac:dyDescent="0.25">
      <c r="A98" s="13" t="s">
        <v>112</v>
      </c>
      <c r="B98" s="6">
        <v>100</v>
      </c>
      <c r="C98" s="6">
        <v>100</v>
      </c>
      <c r="D98" s="6">
        <v>310.24</v>
      </c>
      <c r="E98" s="6">
        <v>100</v>
      </c>
      <c r="F98" s="6">
        <v>100</v>
      </c>
      <c r="G98" s="6">
        <v>100</v>
      </c>
      <c r="H98" s="6">
        <v>100</v>
      </c>
      <c r="I98" s="6">
        <v>100</v>
      </c>
      <c r="J98" s="6">
        <v>100</v>
      </c>
      <c r="K98" s="6">
        <v>100</v>
      </c>
      <c r="L98" s="6">
        <v>100</v>
      </c>
      <c r="M98" s="6">
        <v>202.09</v>
      </c>
      <c r="N98" s="18">
        <v>1512.33</v>
      </c>
      <c r="O98" s="12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</row>
    <row r="99" spans="1:27" hidden="1" x14ac:dyDescent="0.25">
      <c r="A99" s="13" t="s">
        <v>113</v>
      </c>
      <c r="B99" s="6"/>
      <c r="C99" s="6"/>
      <c r="D99" s="6"/>
      <c r="E99" s="6"/>
      <c r="F99" s="6">
        <v>179.66</v>
      </c>
      <c r="G99" s="6"/>
      <c r="H99" s="6"/>
      <c r="I99" s="6"/>
      <c r="J99" s="6"/>
      <c r="K99" s="6"/>
      <c r="L99" s="6"/>
      <c r="M99" s="6"/>
      <c r="N99" s="6">
        <v>179.66</v>
      </c>
      <c r="O99" s="12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</row>
    <row r="100" spans="1:27" hidden="1" x14ac:dyDescent="0.25">
      <c r="A100" s="13" t="s">
        <v>114</v>
      </c>
      <c r="B100" s="6">
        <v>75.3</v>
      </c>
      <c r="C100" s="6">
        <v>22.85</v>
      </c>
      <c r="D100" s="6">
        <v>106.12</v>
      </c>
      <c r="E100" s="6">
        <v>107.83</v>
      </c>
      <c r="F100" s="6">
        <v>175.05</v>
      </c>
      <c r="G100" s="6">
        <v>90.05</v>
      </c>
      <c r="H100" s="6">
        <v>101.23</v>
      </c>
      <c r="I100" s="6">
        <v>136.94</v>
      </c>
      <c r="J100" s="6">
        <v>121.28</v>
      </c>
      <c r="K100" s="6">
        <v>181.91</v>
      </c>
      <c r="L100" s="6">
        <v>192.41</v>
      </c>
      <c r="M100" s="6">
        <v>148.4</v>
      </c>
      <c r="N100" s="18">
        <v>1459.33</v>
      </c>
      <c r="O100" s="12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</row>
    <row r="101" spans="1:27" hidden="1" x14ac:dyDescent="0.25">
      <c r="A101" s="13" t="s">
        <v>115</v>
      </c>
      <c r="B101" s="6">
        <v>428.76</v>
      </c>
      <c r="C101" s="6">
        <v>457.94</v>
      </c>
      <c r="D101" s="6">
        <v>505.56</v>
      </c>
      <c r="E101" s="6">
        <v>539.97</v>
      </c>
      <c r="F101" s="6">
        <v>497.88</v>
      </c>
      <c r="G101" s="6">
        <v>455.6</v>
      </c>
      <c r="H101" s="6">
        <v>447.19</v>
      </c>
      <c r="I101" s="6">
        <v>543.97</v>
      </c>
      <c r="J101" s="6">
        <v>559.33000000000004</v>
      </c>
      <c r="K101" s="6">
        <v>592.37</v>
      </c>
      <c r="L101" s="6">
        <v>574.14</v>
      </c>
      <c r="M101" s="6">
        <v>459.48</v>
      </c>
      <c r="N101" s="18">
        <v>6062.19</v>
      </c>
      <c r="O101" s="12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</row>
    <row r="102" spans="1:27" x14ac:dyDescent="0.25">
      <c r="A102" s="13" t="s">
        <v>116</v>
      </c>
      <c r="B102" s="53">
        <v>504.06</v>
      </c>
      <c r="C102" s="53">
        <v>480.79</v>
      </c>
      <c r="D102" s="53">
        <v>611.67999999999995</v>
      </c>
      <c r="E102" s="53">
        <v>647.79999999999995</v>
      </c>
      <c r="F102" s="53">
        <v>852.59</v>
      </c>
      <c r="G102" s="53">
        <v>545.65</v>
      </c>
      <c r="H102" s="53">
        <v>548.41999999999996</v>
      </c>
      <c r="I102" s="53">
        <v>680.91</v>
      </c>
      <c r="J102" s="53">
        <v>680.61</v>
      </c>
      <c r="K102" s="53">
        <v>774.28</v>
      </c>
      <c r="L102" s="53">
        <v>766.55</v>
      </c>
      <c r="M102" s="53">
        <v>607.88</v>
      </c>
      <c r="N102" s="53">
        <v>7701.18</v>
      </c>
      <c r="O102" s="12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</row>
    <row r="103" spans="1:27" hidden="1" x14ac:dyDescent="0.25">
      <c r="A103" s="13" t="s">
        <v>117</v>
      </c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>
        <v>0</v>
      </c>
      <c r="O103" s="6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</row>
    <row r="104" spans="1:27" hidden="1" x14ac:dyDescent="0.25">
      <c r="A104" s="13" t="s">
        <v>118</v>
      </c>
      <c r="B104" s="18">
        <v>1618.95</v>
      </c>
      <c r="C104" s="18">
        <v>1618.95</v>
      </c>
      <c r="D104" s="18">
        <v>1618.95</v>
      </c>
      <c r="E104" s="18">
        <v>1618.95</v>
      </c>
      <c r="F104" s="18">
        <v>1618.95</v>
      </c>
      <c r="G104" s="18">
        <v>1618.95</v>
      </c>
      <c r="H104" s="18">
        <v>1618.95</v>
      </c>
      <c r="I104" s="18">
        <v>2218.98</v>
      </c>
      <c r="J104" s="18">
        <v>1618.95</v>
      </c>
      <c r="K104" s="18">
        <v>1618.95</v>
      </c>
      <c r="L104" s="18">
        <v>1618.95</v>
      </c>
      <c r="M104" s="18">
        <v>2218.98</v>
      </c>
      <c r="N104" s="18">
        <v>20627.46</v>
      </c>
      <c r="O104" s="12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</row>
    <row r="105" spans="1:27" hidden="1" x14ac:dyDescent="0.25">
      <c r="A105" s="13" t="s">
        <v>119</v>
      </c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12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</row>
    <row r="106" spans="1:27" hidden="1" x14ac:dyDescent="0.25">
      <c r="A106" s="13" t="s">
        <v>120</v>
      </c>
      <c r="B106" s="18">
        <v>1400</v>
      </c>
      <c r="C106" s="18">
        <v>1400</v>
      </c>
      <c r="D106" s="18">
        <v>1400</v>
      </c>
      <c r="E106" s="18">
        <v>1900</v>
      </c>
      <c r="F106" s="18">
        <v>1400</v>
      </c>
      <c r="G106" s="18">
        <v>1400</v>
      </c>
      <c r="H106" s="18">
        <v>1400</v>
      </c>
      <c r="I106" s="18">
        <v>1400</v>
      </c>
      <c r="J106" s="18">
        <v>1581.37</v>
      </c>
      <c r="K106" s="18">
        <v>1400</v>
      </c>
      <c r="L106" s="18">
        <v>1400</v>
      </c>
      <c r="M106" s="18">
        <v>1400</v>
      </c>
      <c r="N106" s="18">
        <v>17481.37</v>
      </c>
      <c r="O106" s="12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</row>
    <row r="107" spans="1:27" hidden="1" x14ac:dyDescent="0.25">
      <c r="A107" s="13" t="s">
        <v>121</v>
      </c>
      <c r="B107" s="6"/>
      <c r="C107" s="6"/>
      <c r="D107" s="6"/>
      <c r="E107" s="6"/>
      <c r="F107" s="6">
        <v>50</v>
      </c>
      <c r="G107" s="6"/>
      <c r="H107" s="6"/>
      <c r="I107" s="6">
        <v>50</v>
      </c>
      <c r="J107" s="6">
        <v>16</v>
      </c>
      <c r="K107" s="6"/>
      <c r="L107" s="6"/>
      <c r="M107" s="6"/>
      <c r="N107" s="6">
        <v>116</v>
      </c>
      <c r="O107" s="12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</row>
    <row r="108" spans="1:27" hidden="1" x14ac:dyDescent="0.25">
      <c r="A108" s="13" t="s">
        <v>122</v>
      </c>
      <c r="B108" s="6">
        <v>178.33</v>
      </c>
      <c r="C108" s="6">
        <v>178.33</v>
      </c>
      <c r="D108" s="6">
        <v>178.33</v>
      </c>
      <c r="E108" s="6">
        <v>178.33</v>
      </c>
      <c r="F108" s="6">
        <v>178.33</v>
      </c>
      <c r="G108" s="6">
        <v>178.33</v>
      </c>
      <c r="H108" s="6">
        <v>178.33</v>
      </c>
      <c r="I108" s="6">
        <v>178.33</v>
      </c>
      <c r="J108" s="6">
        <v>178.33</v>
      </c>
      <c r="K108" s="6">
        <v>178.33</v>
      </c>
      <c r="L108" s="6">
        <v>178.33</v>
      </c>
      <c r="M108" s="6">
        <v>178.33</v>
      </c>
      <c r="N108" s="18">
        <v>2139.96</v>
      </c>
      <c r="O108" s="12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</row>
    <row r="109" spans="1:27" x14ac:dyDescent="0.25">
      <c r="A109" s="13" t="s">
        <v>123</v>
      </c>
      <c r="B109" s="53">
        <v>3197.28</v>
      </c>
      <c r="C109" s="53">
        <v>3197.28</v>
      </c>
      <c r="D109" s="53">
        <v>3197.28</v>
      </c>
      <c r="E109" s="53">
        <v>3697.28</v>
      </c>
      <c r="F109" s="53">
        <v>3247.28</v>
      </c>
      <c r="G109" s="53">
        <v>3197.28</v>
      </c>
      <c r="H109" s="53">
        <v>3197.28</v>
      </c>
      <c r="I109" s="53">
        <v>3847.31</v>
      </c>
      <c r="J109" s="53">
        <v>3394.65</v>
      </c>
      <c r="K109" s="53">
        <v>3197.28</v>
      </c>
      <c r="L109" s="53">
        <v>3197.28</v>
      </c>
      <c r="M109" s="53">
        <v>3797.31</v>
      </c>
      <c r="N109" s="53">
        <v>40364.79</v>
      </c>
      <c r="O109" s="12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</row>
    <row r="110" spans="1:27" hidden="1" x14ac:dyDescent="0.25">
      <c r="A110" s="13" t="s">
        <v>124</v>
      </c>
      <c r="B110" s="6"/>
      <c r="C110" s="6"/>
      <c r="D110" s="6"/>
      <c r="E110" s="6"/>
      <c r="F110" s="6"/>
      <c r="G110" s="6">
        <v>120</v>
      </c>
      <c r="H110" s="6"/>
      <c r="I110" s="6"/>
      <c r="J110" s="6">
        <v>54</v>
      </c>
      <c r="K110" s="6"/>
      <c r="L110" s="6"/>
      <c r="M110" s="6"/>
      <c r="N110" s="6">
        <v>174</v>
      </c>
      <c r="O110" s="12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</row>
    <row r="111" spans="1:27" hidden="1" x14ac:dyDescent="0.25">
      <c r="A111" s="13" t="s">
        <v>125</v>
      </c>
      <c r="B111" s="6"/>
      <c r="C111" s="6"/>
      <c r="D111" s="18">
        <v>1374.46</v>
      </c>
      <c r="E111" s="6"/>
      <c r="F111" s="6"/>
      <c r="G111" s="6"/>
      <c r="H111" s="6"/>
      <c r="I111" s="6">
        <v>226.99</v>
      </c>
      <c r="J111" s="6"/>
      <c r="K111" s="6"/>
      <c r="L111" s="6"/>
      <c r="M111" s="6"/>
      <c r="N111" s="18">
        <v>1601.45</v>
      </c>
      <c r="O111" s="12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</row>
    <row r="112" spans="1:27" hidden="1" x14ac:dyDescent="0.25">
      <c r="A112" s="13" t="s">
        <v>126</v>
      </c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>
        <v>0</v>
      </c>
      <c r="O112" s="12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</row>
    <row r="113" spans="1:27" hidden="1" x14ac:dyDescent="0.25">
      <c r="A113" s="13" t="s">
        <v>127</v>
      </c>
      <c r="B113" s="6">
        <v>935</v>
      </c>
      <c r="C113" s="6">
        <v>935</v>
      </c>
      <c r="D113" s="6">
        <v>935</v>
      </c>
      <c r="E113" s="6">
        <v>935</v>
      </c>
      <c r="F113" s="6">
        <v>935</v>
      </c>
      <c r="G113" s="6">
        <v>935</v>
      </c>
      <c r="H113" s="6">
        <v>935</v>
      </c>
      <c r="I113" s="6">
        <v>935</v>
      </c>
      <c r="J113" s="6">
        <v>946.9</v>
      </c>
      <c r="K113" s="6">
        <v>935</v>
      </c>
      <c r="L113" s="6">
        <v>935</v>
      </c>
      <c r="M113" s="6">
        <v>935</v>
      </c>
      <c r="N113" s="18">
        <v>11231.9</v>
      </c>
      <c r="O113" s="12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</row>
    <row r="114" spans="1:27" hidden="1" x14ac:dyDescent="0.25">
      <c r="A114" s="13" t="s">
        <v>128</v>
      </c>
      <c r="B114" s="6">
        <v>134.32</v>
      </c>
      <c r="C114" s="6">
        <v>47.81</v>
      </c>
      <c r="D114" s="6">
        <v>116.59</v>
      </c>
      <c r="E114" s="6">
        <v>66.67</v>
      </c>
      <c r="F114" s="6">
        <v>60.27</v>
      </c>
      <c r="G114" s="6">
        <v>71.03</v>
      </c>
      <c r="H114" s="6">
        <v>68.11</v>
      </c>
      <c r="I114" s="6">
        <v>95.96</v>
      </c>
      <c r="J114" s="6">
        <v>364.51</v>
      </c>
      <c r="K114" s="6">
        <v>10.66</v>
      </c>
      <c r="L114" s="6">
        <v>75.95</v>
      </c>
      <c r="M114" s="6">
        <v>74.930000000000007</v>
      </c>
      <c r="N114" s="18">
        <v>1186.81</v>
      </c>
      <c r="O114" s="12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</row>
    <row r="115" spans="1:27" hidden="1" x14ac:dyDescent="0.25">
      <c r="A115" s="13" t="s">
        <v>129</v>
      </c>
      <c r="B115" s="6"/>
      <c r="C115" s="6"/>
      <c r="D115" s="6"/>
      <c r="E115" s="6"/>
      <c r="F115" s="6">
        <v>66.22</v>
      </c>
      <c r="G115" s="6"/>
      <c r="H115" s="6"/>
      <c r="I115" s="6"/>
      <c r="J115" s="6"/>
      <c r="K115" s="6"/>
      <c r="L115" s="6"/>
      <c r="M115" s="6"/>
      <c r="N115" s="6">
        <v>66.22</v>
      </c>
      <c r="O115" s="12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</row>
    <row r="116" spans="1:27" hidden="1" x14ac:dyDescent="0.25">
      <c r="A116" s="13" t="s">
        <v>130</v>
      </c>
      <c r="B116" s="6"/>
      <c r="C116" s="6"/>
      <c r="D116" s="6"/>
      <c r="E116" s="6">
        <v>48.45</v>
      </c>
      <c r="F116" s="6"/>
      <c r="G116" s="6"/>
      <c r="H116" s="6">
        <v>110.55</v>
      </c>
      <c r="I116" s="6"/>
      <c r="J116" s="6"/>
      <c r="K116" s="6">
        <v>109.88</v>
      </c>
      <c r="L116" s="6"/>
      <c r="M116" s="6"/>
      <c r="N116" s="6">
        <v>268.88</v>
      </c>
      <c r="O116" s="12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</row>
    <row r="117" spans="1:27" x14ac:dyDescent="0.25">
      <c r="A117" s="13" t="s">
        <v>131</v>
      </c>
      <c r="B117" s="53">
        <v>134.32</v>
      </c>
      <c r="C117" s="53">
        <v>47.81</v>
      </c>
      <c r="D117" s="53">
        <v>116.59</v>
      </c>
      <c r="E117" s="53">
        <v>115.12</v>
      </c>
      <c r="F117" s="53">
        <v>126.49</v>
      </c>
      <c r="G117" s="53">
        <v>71.03</v>
      </c>
      <c r="H117" s="53">
        <v>178.66</v>
      </c>
      <c r="I117" s="53">
        <v>95.96</v>
      </c>
      <c r="J117" s="53">
        <v>364.51</v>
      </c>
      <c r="K117" s="53">
        <v>120.54</v>
      </c>
      <c r="L117" s="53">
        <v>75.95</v>
      </c>
      <c r="M117" s="53">
        <v>74.930000000000007</v>
      </c>
      <c r="N117" s="53">
        <v>1521.91</v>
      </c>
      <c r="O117" s="12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</row>
    <row r="118" spans="1:27" hidden="1" x14ac:dyDescent="0.25">
      <c r="A118" s="13" t="s">
        <v>132</v>
      </c>
      <c r="B118" s="6"/>
      <c r="C118" s="6"/>
      <c r="D118" s="6"/>
      <c r="E118" s="6">
        <v>30</v>
      </c>
      <c r="F118" s="6"/>
      <c r="G118" s="6"/>
      <c r="H118" s="6"/>
      <c r="I118" s="6"/>
      <c r="J118" s="6"/>
      <c r="K118" s="6"/>
      <c r="L118" s="6">
        <v>31.97</v>
      </c>
      <c r="M118" s="6"/>
      <c r="N118" s="6">
        <v>61.97</v>
      </c>
      <c r="O118" s="12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</row>
    <row r="119" spans="1:27" hidden="1" x14ac:dyDescent="0.25">
      <c r="A119" s="13" t="s">
        <v>133</v>
      </c>
      <c r="B119" s="6"/>
      <c r="C119" s="6">
        <v>323.98</v>
      </c>
      <c r="D119" s="6"/>
      <c r="E119" s="6"/>
      <c r="F119" s="6"/>
      <c r="G119" s="6"/>
      <c r="H119" s="6">
        <v>369.19</v>
      </c>
      <c r="I119" s="6"/>
      <c r="J119" s="6"/>
      <c r="K119" s="12"/>
      <c r="L119" s="6"/>
      <c r="M119" s="6">
        <v>975.53</v>
      </c>
      <c r="N119" s="18">
        <v>1668.7</v>
      </c>
      <c r="O119" s="12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</row>
    <row r="120" spans="1:27" hidden="1" x14ac:dyDescent="0.25">
      <c r="A120" s="13" t="s">
        <v>134</v>
      </c>
      <c r="B120" s="6"/>
      <c r="C120" s="6"/>
      <c r="D120" s="6"/>
      <c r="E120" s="6"/>
      <c r="F120" s="6"/>
      <c r="G120" s="6"/>
      <c r="H120" s="6"/>
      <c r="I120" s="6"/>
      <c r="J120" s="6"/>
      <c r="K120" s="12"/>
      <c r="L120" s="6"/>
      <c r="M120" s="6">
        <v>581.70000000000005</v>
      </c>
      <c r="N120" s="6">
        <v>581.70000000000005</v>
      </c>
      <c r="O120" s="12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</row>
    <row r="121" spans="1:27" x14ac:dyDescent="0.25">
      <c r="A121" s="13" t="s">
        <v>135</v>
      </c>
      <c r="B121" s="53">
        <v>0</v>
      </c>
      <c r="C121" s="53">
        <v>323.98</v>
      </c>
      <c r="D121" s="53">
        <v>0</v>
      </c>
      <c r="E121" s="53">
        <v>0</v>
      </c>
      <c r="F121" s="53">
        <v>0</v>
      </c>
      <c r="G121" s="53">
        <v>0</v>
      </c>
      <c r="H121" s="53">
        <v>369.19</v>
      </c>
      <c r="I121" s="53">
        <v>0</v>
      </c>
      <c r="J121" s="53">
        <v>0</v>
      </c>
      <c r="K121" s="53">
        <v>0</v>
      </c>
      <c r="L121" s="53">
        <v>0</v>
      </c>
      <c r="M121" s="53">
        <v>1557.23</v>
      </c>
      <c r="N121" s="53">
        <v>2250.4</v>
      </c>
      <c r="O121" s="12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</row>
    <row r="122" spans="1:27" hidden="1" x14ac:dyDescent="0.25">
      <c r="A122" s="13" t="s">
        <v>136</v>
      </c>
      <c r="B122" s="6">
        <v>12.57</v>
      </c>
      <c r="C122" s="6">
        <v>15.01</v>
      </c>
      <c r="D122" s="6">
        <v>19.2</v>
      </c>
      <c r="E122" s="6">
        <v>22.22</v>
      </c>
      <c r="F122" s="6"/>
      <c r="G122" s="6">
        <v>17.87</v>
      </c>
      <c r="H122" s="6">
        <v>27.7</v>
      </c>
      <c r="I122" s="6">
        <v>31.98</v>
      </c>
      <c r="J122" s="6">
        <v>25.58</v>
      </c>
      <c r="K122" s="6">
        <v>36.880000000000003</v>
      </c>
      <c r="L122" s="6">
        <v>25.39</v>
      </c>
      <c r="M122" s="6">
        <v>24.97</v>
      </c>
      <c r="N122" s="6">
        <v>259.37</v>
      </c>
      <c r="O122" s="12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</row>
    <row r="123" spans="1:27" hidden="1" x14ac:dyDescent="0.25">
      <c r="A123" s="13" t="s">
        <v>137</v>
      </c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>
        <v>0</v>
      </c>
      <c r="O123" s="12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</row>
    <row r="124" spans="1:27" hidden="1" x14ac:dyDescent="0.25">
      <c r="A124" s="13" t="s">
        <v>138</v>
      </c>
      <c r="B124" s="6"/>
      <c r="C124" s="6"/>
      <c r="D124" s="6"/>
      <c r="E124" s="6">
        <v>690.05</v>
      </c>
      <c r="F124" s="6"/>
      <c r="G124" s="6"/>
      <c r="H124" s="6"/>
      <c r="I124" s="6">
        <v>36.869999999999997</v>
      </c>
      <c r="J124" s="6"/>
      <c r="K124" s="6"/>
      <c r="L124" s="6"/>
      <c r="M124" s="6"/>
      <c r="N124" s="6">
        <v>726.92</v>
      </c>
      <c r="O124" s="12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</row>
    <row r="125" spans="1:27" hidden="1" x14ac:dyDescent="0.25">
      <c r="A125" s="13" t="s">
        <v>139</v>
      </c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>
        <v>0</v>
      </c>
      <c r="O125" s="12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</row>
    <row r="126" spans="1:27" hidden="1" x14ac:dyDescent="0.25">
      <c r="A126" s="13" t="s">
        <v>140</v>
      </c>
      <c r="B126" s="6">
        <v>89.6</v>
      </c>
      <c r="C126" s="6">
        <v>89.6</v>
      </c>
      <c r="D126" s="6">
        <v>89.6</v>
      </c>
      <c r="E126" s="6">
        <v>89.6</v>
      </c>
      <c r="F126" s="6">
        <v>89.6</v>
      </c>
      <c r="G126" s="6">
        <v>89.6</v>
      </c>
      <c r="H126" s="6">
        <v>89.6</v>
      </c>
      <c r="I126" s="6">
        <v>89.6</v>
      </c>
      <c r="J126" s="6">
        <v>89.6</v>
      </c>
      <c r="K126" s="6">
        <v>109.52</v>
      </c>
      <c r="L126" s="6">
        <v>89.6</v>
      </c>
      <c r="M126" s="6">
        <v>89.6</v>
      </c>
      <c r="N126" s="18">
        <v>1095.1199999999999</v>
      </c>
      <c r="O126" s="12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</row>
    <row r="127" spans="1:27" hidden="1" x14ac:dyDescent="0.25">
      <c r="A127" s="13" t="s">
        <v>141</v>
      </c>
      <c r="B127" s="6">
        <v>133.56</v>
      </c>
      <c r="C127" s="6">
        <v>136.46</v>
      </c>
      <c r="D127" s="6">
        <v>138.44</v>
      </c>
      <c r="E127" s="6">
        <v>115.13</v>
      </c>
      <c r="F127" s="6">
        <v>147.55000000000001</v>
      </c>
      <c r="G127" s="6">
        <v>163.69999999999999</v>
      </c>
      <c r="H127" s="6">
        <v>146.24</v>
      </c>
      <c r="I127" s="6">
        <v>193.22</v>
      </c>
      <c r="J127" s="6">
        <v>159.01</v>
      </c>
      <c r="K127" s="6">
        <v>175.97</v>
      </c>
      <c r="L127" s="6">
        <v>182.3</v>
      </c>
      <c r="M127" s="6">
        <v>151.06</v>
      </c>
      <c r="N127" s="18">
        <v>1842.64</v>
      </c>
      <c r="O127" s="12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</row>
    <row r="128" spans="1:27" hidden="1" x14ac:dyDescent="0.25">
      <c r="A128" s="13" t="s">
        <v>142</v>
      </c>
      <c r="B128" s="6">
        <v>153.52000000000001</v>
      </c>
      <c r="C128" s="6">
        <v>159.55000000000001</v>
      </c>
      <c r="D128" s="6">
        <v>153.52000000000001</v>
      </c>
      <c r="E128" s="6">
        <v>193.12</v>
      </c>
      <c r="F128" s="6">
        <v>163.12</v>
      </c>
      <c r="G128" s="6">
        <v>153.52000000000001</v>
      </c>
      <c r="H128" s="6">
        <v>168.14</v>
      </c>
      <c r="I128" s="6">
        <v>153.52000000000001</v>
      </c>
      <c r="J128" s="6">
        <v>153.52000000000001</v>
      </c>
      <c r="K128" s="6">
        <v>203.7</v>
      </c>
      <c r="L128" s="6">
        <v>153.52000000000001</v>
      </c>
      <c r="M128" s="6">
        <v>153.51</v>
      </c>
      <c r="N128" s="18">
        <v>1962.26</v>
      </c>
      <c r="O128" s="12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</row>
    <row r="129" spans="1:27" hidden="1" x14ac:dyDescent="0.25">
      <c r="A129" s="13" t="s">
        <v>143</v>
      </c>
      <c r="B129" s="6">
        <v>44.8</v>
      </c>
      <c r="C129" s="6">
        <v>44.8</v>
      </c>
      <c r="D129" s="6">
        <v>94.25</v>
      </c>
      <c r="E129" s="6">
        <v>48.17</v>
      </c>
      <c r="F129" s="6">
        <v>44.8</v>
      </c>
      <c r="G129" s="6">
        <v>44.8</v>
      </c>
      <c r="H129" s="6">
        <v>44.8</v>
      </c>
      <c r="I129" s="6">
        <v>44.8</v>
      </c>
      <c r="J129" s="6">
        <v>44.8</v>
      </c>
      <c r="K129" s="6">
        <v>44.8</v>
      </c>
      <c r="L129" s="6">
        <v>44.8</v>
      </c>
      <c r="M129" s="6">
        <v>44.79</v>
      </c>
      <c r="N129" s="6">
        <v>590.41</v>
      </c>
      <c r="O129" s="12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</row>
    <row r="130" spans="1:27" x14ac:dyDescent="0.25">
      <c r="A130" s="13" t="s">
        <v>144</v>
      </c>
      <c r="B130" s="53">
        <v>421.48</v>
      </c>
      <c r="C130" s="53">
        <v>430.41</v>
      </c>
      <c r="D130" s="53">
        <v>475.81</v>
      </c>
      <c r="E130" s="53">
        <v>446.02</v>
      </c>
      <c r="F130" s="53">
        <v>445.07</v>
      </c>
      <c r="G130" s="53">
        <v>451.62</v>
      </c>
      <c r="H130" s="53">
        <v>448.78</v>
      </c>
      <c r="I130" s="53">
        <v>481.14</v>
      </c>
      <c r="J130" s="53">
        <v>446.93</v>
      </c>
      <c r="K130" s="53">
        <v>533.99</v>
      </c>
      <c r="L130" s="53">
        <v>470.22</v>
      </c>
      <c r="M130" s="53">
        <v>438.96</v>
      </c>
      <c r="N130" s="53">
        <v>5490.43</v>
      </c>
      <c r="O130" s="12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</row>
    <row r="131" spans="1:27" x14ac:dyDescent="0.25">
      <c r="A131" s="13" t="s">
        <v>145</v>
      </c>
      <c r="B131" s="53">
        <v>7945.55</v>
      </c>
      <c r="C131" s="53">
        <v>10259.73</v>
      </c>
      <c r="D131" s="53">
        <v>10811.51</v>
      </c>
      <c r="E131" s="53">
        <v>9911.74</v>
      </c>
      <c r="F131" s="53">
        <v>10729.71</v>
      </c>
      <c r="G131" s="53">
        <v>8421.2199999999993</v>
      </c>
      <c r="H131" s="53">
        <v>8696.2000000000007</v>
      </c>
      <c r="I131" s="53">
        <v>10320.99</v>
      </c>
      <c r="J131" s="53">
        <v>9031.51</v>
      </c>
      <c r="K131" s="53">
        <v>8619.5499999999993</v>
      </c>
      <c r="L131" s="53">
        <v>8369.4500000000007</v>
      </c>
      <c r="M131" s="53">
        <v>12658.85</v>
      </c>
      <c r="N131" s="53">
        <v>115775.98</v>
      </c>
      <c r="O131" s="12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</row>
    <row r="132" spans="1:27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2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</row>
    <row r="133" spans="1:27" hidden="1" x14ac:dyDescent="0.25">
      <c r="A133" s="13" t="s">
        <v>146</v>
      </c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2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</row>
    <row r="134" spans="1:27" hidden="1" x14ac:dyDescent="0.25">
      <c r="A134" s="13" t="s">
        <v>147</v>
      </c>
      <c r="B134" s="6">
        <v>4.12</v>
      </c>
      <c r="C134" s="6">
        <v>4.2</v>
      </c>
      <c r="D134" s="6">
        <v>4.8899999999999997</v>
      </c>
      <c r="E134" s="6">
        <v>4.18</v>
      </c>
      <c r="F134" s="6">
        <v>1.87</v>
      </c>
      <c r="G134" s="6">
        <v>1.56</v>
      </c>
      <c r="H134" s="6">
        <v>1.41</v>
      </c>
      <c r="I134" s="6">
        <v>4.58</v>
      </c>
      <c r="J134" s="6">
        <v>3.44</v>
      </c>
      <c r="K134" s="6">
        <v>5.41</v>
      </c>
      <c r="L134" s="6">
        <v>8.57</v>
      </c>
      <c r="M134" s="6">
        <v>5.66</v>
      </c>
      <c r="N134" s="6">
        <v>49.89</v>
      </c>
      <c r="O134" s="12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</row>
    <row r="135" spans="1:27" hidden="1" x14ac:dyDescent="0.25">
      <c r="A135" s="13" t="s">
        <v>148</v>
      </c>
      <c r="B135" s="53">
        <v>4.12</v>
      </c>
      <c r="C135" s="53">
        <v>4.2</v>
      </c>
      <c r="D135" s="53">
        <v>4.8899999999999997</v>
      </c>
      <c r="E135" s="53">
        <v>4.18</v>
      </c>
      <c r="F135" s="53">
        <v>1.87</v>
      </c>
      <c r="G135" s="53">
        <v>1.56</v>
      </c>
      <c r="H135" s="53">
        <v>1.41</v>
      </c>
      <c r="I135" s="53">
        <v>4.58</v>
      </c>
      <c r="J135" s="53">
        <v>3.44</v>
      </c>
      <c r="K135" s="53">
        <v>5.41</v>
      </c>
      <c r="L135" s="53">
        <v>8.57</v>
      </c>
      <c r="M135" s="53">
        <v>5.66</v>
      </c>
      <c r="N135" s="53">
        <v>49.89</v>
      </c>
      <c r="O135" s="12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</row>
    <row r="136" spans="1:27" hidden="1" x14ac:dyDescent="0.25">
      <c r="A136" s="13" t="s">
        <v>149</v>
      </c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12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</row>
    <row r="137" spans="1:27" hidden="1" x14ac:dyDescent="0.25">
      <c r="A137" s="13" t="s">
        <v>150</v>
      </c>
      <c r="B137" s="6"/>
      <c r="C137" s="6"/>
      <c r="D137" s="6"/>
      <c r="E137" s="6"/>
      <c r="F137" s="6"/>
      <c r="G137" s="6">
        <v>150</v>
      </c>
      <c r="H137" s="6"/>
      <c r="I137" s="6">
        <v>53.89</v>
      </c>
      <c r="J137" s="6">
        <v>48.14</v>
      </c>
      <c r="K137" s="6"/>
      <c r="L137" s="6"/>
      <c r="M137" s="6"/>
      <c r="N137" s="6">
        <v>252.03</v>
      </c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</row>
    <row r="138" spans="1:27" hidden="1" x14ac:dyDescent="0.25">
      <c r="A138" s="13" t="s">
        <v>151</v>
      </c>
      <c r="B138" s="6"/>
      <c r="C138" s="6"/>
      <c r="D138" s="6"/>
      <c r="E138" s="6">
        <v>-0.02</v>
      </c>
      <c r="F138" s="6"/>
      <c r="G138" s="6"/>
      <c r="H138" s="6"/>
      <c r="I138" s="6"/>
      <c r="J138" s="6"/>
      <c r="K138" s="6"/>
      <c r="L138" s="6"/>
      <c r="M138" s="6"/>
      <c r="N138" s="6">
        <v>-0.02</v>
      </c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</row>
    <row r="139" spans="1:27" hidden="1" x14ac:dyDescent="0.25">
      <c r="A139" s="13" t="s">
        <v>152</v>
      </c>
      <c r="B139" s="53">
        <v>0</v>
      </c>
      <c r="C139" s="53">
        <v>0</v>
      </c>
      <c r="D139" s="53">
        <v>0</v>
      </c>
      <c r="E139" s="54">
        <v>-0.02</v>
      </c>
      <c r="F139" s="53">
        <v>0</v>
      </c>
      <c r="G139" s="53">
        <v>150</v>
      </c>
      <c r="H139" s="53">
        <v>0</v>
      </c>
      <c r="I139" s="53">
        <v>53.89</v>
      </c>
      <c r="J139" s="53">
        <v>48.14</v>
      </c>
      <c r="K139" s="53">
        <v>0</v>
      </c>
      <c r="L139" s="53">
        <v>0</v>
      </c>
      <c r="M139" s="53">
        <v>0</v>
      </c>
      <c r="N139" s="53">
        <v>252.01</v>
      </c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/>
    </row>
    <row r="140" spans="1:27" x14ac:dyDescent="0.25">
      <c r="A140" s="13" t="s">
        <v>153</v>
      </c>
      <c r="B140" s="54">
        <v>-694.13</v>
      </c>
      <c r="C140" s="53">
        <v>145.49</v>
      </c>
      <c r="D140" s="54">
        <v>-1822.39</v>
      </c>
      <c r="E140" s="53">
        <v>245.32</v>
      </c>
      <c r="F140" s="53">
        <v>1937.55</v>
      </c>
      <c r="G140" s="53">
        <v>1216.47</v>
      </c>
      <c r="H140" s="54">
        <v>-72.959999999999994</v>
      </c>
      <c r="I140" s="54">
        <v>-925.69</v>
      </c>
      <c r="J140" s="53">
        <v>3293.71</v>
      </c>
      <c r="K140" s="53">
        <v>2883.45</v>
      </c>
      <c r="L140" s="53">
        <v>3564.87</v>
      </c>
      <c r="M140" s="54">
        <v>-708.83</v>
      </c>
      <c r="N140" s="53">
        <v>9062.8799999999992</v>
      </c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</row>
    <row r="141" spans="1:27" x14ac:dyDescent="0.25">
      <c r="A141" s="50" t="s">
        <v>154</v>
      </c>
      <c r="B141" s="51">
        <v>-0.03</v>
      </c>
      <c r="C141" s="51">
        <v>0.01</v>
      </c>
      <c r="D141" s="51">
        <v>-0.08</v>
      </c>
      <c r="E141" s="51">
        <v>0.01</v>
      </c>
      <c r="F141" s="51">
        <v>0.06</v>
      </c>
      <c r="G141" s="51">
        <v>0.05</v>
      </c>
      <c r="H141" s="51">
        <v>0</v>
      </c>
      <c r="I141" s="51">
        <v>-0.03</v>
      </c>
      <c r="J141" s="51">
        <v>0.1</v>
      </c>
      <c r="K141" s="51">
        <v>0.08</v>
      </c>
      <c r="L141" s="51">
        <v>0.1</v>
      </c>
      <c r="M141" s="51">
        <v>-0.02</v>
      </c>
      <c r="N141" s="51">
        <v>0.03</v>
      </c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  <c r="AA141" s="38"/>
    </row>
    <row r="142" spans="1:27" x14ac:dyDescent="0.25">
      <c r="A142" s="13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</row>
    <row r="143" spans="1:27" x14ac:dyDescent="0.25">
      <c r="A143" s="55"/>
      <c r="B143" s="56" t="s">
        <v>28</v>
      </c>
      <c r="C143" s="56" t="s">
        <v>28</v>
      </c>
      <c r="D143" s="56" t="s">
        <v>28</v>
      </c>
      <c r="E143" s="56" t="s">
        <v>28</v>
      </c>
      <c r="F143" s="56" t="s">
        <v>28</v>
      </c>
      <c r="G143" s="56" t="s">
        <v>28</v>
      </c>
      <c r="H143" s="56" t="s">
        <v>28</v>
      </c>
      <c r="I143" s="56" t="s">
        <v>28</v>
      </c>
      <c r="J143" s="56" t="s">
        <v>28</v>
      </c>
      <c r="K143" s="56" t="s">
        <v>28</v>
      </c>
      <c r="L143" s="56" t="s">
        <v>28</v>
      </c>
      <c r="M143" s="56" t="s">
        <v>28</v>
      </c>
      <c r="N143" s="56" t="s">
        <v>28</v>
      </c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</row>
    <row r="144" spans="1:27" x14ac:dyDescent="0.25">
      <c r="A144" s="55"/>
      <c r="B144" s="56" t="s">
        <v>28</v>
      </c>
      <c r="C144" s="56" t="s">
        <v>28</v>
      </c>
      <c r="D144" s="56" t="s">
        <v>28</v>
      </c>
      <c r="E144" s="56" t="s">
        <v>28</v>
      </c>
      <c r="F144" s="56" t="s">
        <v>28</v>
      </c>
      <c r="G144" s="56" t="s">
        <v>28</v>
      </c>
      <c r="H144" s="56" t="s">
        <v>28</v>
      </c>
      <c r="I144" s="56" t="s">
        <v>28</v>
      </c>
      <c r="J144" s="56" t="s">
        <v>28</v>
      </c>
      <c r="K144" s="56" t="s">
        <v>28</v>
      </c>
      <c r="L144" s="56" t="s">
        <v>28</v>
      </c>
      <c r="M144" s="56" t="s">
        <v>28</v>
      </c>
      <c r="N144" s="56" t="s">
        <v>28</v>
      </c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  <c r="AA144" s="52"/>
    </row>
    <row r="145" spans="1:27" x14ac:dyDescent="0.25">
      <c r="A145" s="55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52"/>
      <c r="Z145" s="52"/>
      <c r="AA145" s="52"/>
    </row>
    <row r="146" spans="1:27" x14ac:dyDescent="0.25">
      <c r="A146" s="38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52"/>
      <c r="AA146" s="52"/>
    </row>
    <row r="147" spans="1:27" x14ac:dyDescent="0.25">
      <c r="A147" s="38"/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  <c r="AA147" s="52"/>
    </row>
    <row r="148" spans="1:27" x14ac:dyDescent="0.25">
      <c r="A148" s="184"/>
      <c r="B148" s="184"/>
      <c r="C148" s="184"/>
      <c r="D148" s="184"/>
      <c r="E148" s="184"/>
      <c r="F148" s="184"/>
      <c r="G148" s="184"/>
      <c r="H148" s="184"/>
      <c r="I148" s="184"/>
      <c r="J148" s="184"/>
      <c r="K148" s="184"/>
      <c r="L148" s="184"/>
      <c r="M148" s="184"/>
      <c r="N148" s="184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  <c r="AA148" s="52"/>
    </row>
    <row r="149" spans="1:27" x14ac:dyDescent="0.25">
      <c r="A149" s="38"/>
      <c r="B149" s="38"/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  <c r="AA149" s="52"/>
    </row>
    <row r="150" spans="1:27" x14ac:dyDescent="0.25">
      <c r="A150" s="52"/>
      <c r="B150" s="52"/>
      <c r="C150" s="52"/>
      <c r="D150" s="52"/>
      <c r="E150" s="52"/>
      <c r="F150" s="52"/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2"/>
      <c r="Y150" s="52"/>
      <c r="Z150" s="52"/>
      <c r="AA150" s="52"/>
    </row>
    <row r="151" spans="1:27" x14ac:dyDescent="0.25">
      <c r="A151" s="52"/>
      <c r="B151" s="52"/>
      <c r="C151" s="52"/>
      <c r="D151" s="52"/>
      <c r="E151" s="52"/>
      <c r="F151" s="52"/>
      <c r="G151" s="52"/>
      <c r="H151" s="52"/>
      <c r="I151" s="52"/>
      <c r="J151" s="52"/>
      <c r="K151" s="52"/>
      <c r="L151" s="52"/>
      <c r="M151" s="52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2"/>
      <c r="AA151" s="52"/>
    </row>
    <row r="152" spans="1:27" x14ac:dyDescent="0.25">
      <c r="A152" s="13" t="s">
        <v>155</v>
      </c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 t="s">
        <v>30</v>
      </c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52"/>
      <c r="AA152" s="52"/>
    </row>
    <row r="153" spans="1:27" x14ac:dyDescent="0.25">
      <c r="A153" s="13" t="s">
        <v>156</v>
      </c>
      <c r="B153" s="6">
        <v>300</v>
      </c>
      <c r="C153" s="6">
        <v>360</v>
      </c>
      <c r="D153" s="6">
        <v>420</v>
      </c>
      <c r="E153" s="6">
        <v>510</v>
      </c>
      <c r="F153" s="6">
        <v>540</v>
      </c>
      <c r="G153" s="6">
        <v>480</v>
      </c>
      <c r="H153" s="6">
        <v>300</v>
      </c>
      <c r="I153" s="6">
        <v>360</v>
      </c>
      <c r="J153" s="6">
        <v>510</v>
      </c>
      <c r="K153" s="6">
        <v>780</v>
      </c>
      <c r="L153" s="6">
        <v>780</v>
      </c>
      <c r="M153" s="6">
        <v>660</v>
      </c>
      <c r="N153" s="43">
        <v>6002</v>
      </c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  <c r="AA153" s="52"/>
    </row>
    <row r="154" spans="1:27" x14ac:dyDescent="0.25">
      <c r="A154" s="13" t="s">
        <v>157</v>
      </c>
      <c r="B154" s="6">
        <v>283</v>
      </c>
      <c r="C154" s="6">
        <v>404</v>
      </c>
      <c r="D154" s="6">
        <v>283</v>
      </c>
      <c r="E154" s="6">
        <v>242</v>
      </c>
      <c r="F154" s="6">
        <v>323</v>
      </c>
      <c r="G154" s="6">
        <v>283</v>
      </c>
      <c r="H154" s="6">
        <v>323</v>
      </c>
      <c r="I154" s="6">
        <v>404</v>
      </c>
      <c r="J154" s="6">
        <v>364</v>
      </c>
      <c r="K154" s="6">
        <v>404</v>
      </c>
      <c r="L154" s="6">
        <v>364</v>
      </c>
      <c r="M154" s="6">
        <v>364</v>
      </c>
      <c r="N154" s="43">
        <v>4039</v>
      </c>
      <c r="O154" s="52"/>
      <c r="P154" s="52"/>
      <c r="Q154" s="52"/>
      <c r="R154" s="52"/>
      <c r="S154" s="52"/>
      <c r="T154" s="52"/>
      <c r="U154" s="52"/>
      <c r="V154" s="52"/>
      <c r="W154" s="52"/>
      <c r="X154" s="52"/>
      <c r="Y154" s="52"/>
      <c r="Z154" s="52"/>
      <c r="AA154" s="52"/>
    </row>
    <row r="155" spans="1:27" x14ac:dyDescent="0.25">
      <c r="A155" s="13" t="s">
        <v>158</v>
      </c>
      <c r="B155" s="6">
        <v>151</v>
      </c>
      <c r="C155" s="6">
        <v>146</v>
      </c>
      <c r="D155" s="6">
        <v>212</v>
      </c>
      <c r="E155" s="6">
        <v>216</v>
      </c>
      <c r="F155" s="6">
        <v>303</v>
      </c>
      <c r="G155" s="6">
        <v>240</v>
      </c>
      <c r="H155" s="6">
        <v>202</v>
      </c>
      <c r="I155" s="6">
        <v>274</v>
      </c>
      <c r="J155" s="6">
        <v>243</v>
      </c>
      <c r="K155" s="6">
        <v>364</v>
      </c>
      <c r="L155" s="6">
        <v>385</v>
      </c>
      <c r="M155" s="6">
        <v>297</v>
      </c>
      <c r="N155" s="43">
        <v>3032</v>
      </c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  <c r="AA155" s="52"/>
    </row>
    <row r="156" spans="1:27" x14ac:dyDescent="0.25">
      <c r="A156" s="13" t="s">
        <v>159</v>
      </c>
      <c r="B156" s="46">
        <v>733</v>
      </c>
      <c r="C156" s="46">
        <v>910</v>
      </c>
      <c r="D156" s="46">
        <v>915</v>
      </c>
      <c r="E156" s="46">
        <v>968</v>
      </c>
      <c r="F156" s="46">
        <v>1166</v>
      </c>
      <c r="G156" s="46">
        <v>1003</v>
      </c>
      <c r="H156" s="46">
        <v>826</v>
      </c>
      <c r="I156" s="46">
        <v>1038</v>
      </c>
      <c r="J156" s="46">
        <v>1116</v>
      </c>
      <c r="K156" s="46">
        <v>1548</v>
      </c>
      <c r="L156" s="46">
        <v>1529</v>
      </c>
      <c r="M156" s="46">
        <v>1321</v>
      </c>
      <c r="N156" s="46">
        <v>13074</v>
      </c>
      <c r="O156" s="52"/>
      <c r="P156" s="52"/>
      <c r="Q156" s="52"/>
      <c r="R156" s="52"/>
      <c r="S156" s="52"/>
      <c r="T156" s="52"/>
      <c r="U156" s="52"/>
      <c r="V156" s="52"/>
      <c r="W156" s="52"/>
      <c r="X156" s="52"/>
      <c r="Y156" s="52"/>
      <c r="Z156" s="52"/>
      <c r="AA156" s="52"/>
    </row>
    <row r="157" spans="1:27" x14ac:dyDescent="0.25">
      <c r="A157" s="13" t="s">
        <v>160</v>
      </c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 t="s">
        <v>30</v>
      </c>
      <c r="O157" s="52"/>
      <c r="P157" s="52"/>
      <c r="Q157" s="52"/>
      <c r="R157" s="52"/>
      <c r="S157" s="52"/>
      <c r="T157" s="52"/>
      <c r="U157" s="52"/>
      <c r="V157" s="52"/>
      <c r="W157" s="52"/>
      <c r="X157" s="52"/>
      <c r="Y157" s="52"/>
      <c r="Z157" s="52"/>
      <c r="AA157" s="52"/>
    </row>
    <row r="158" spans="1:27" ht="31.5" x14ac:dyDescent="0.25">
      <c r="A158" s="13" t="s">
        <v>161</v>
      </c>
      <c r="B158" s="6">
        <v>1387</v>
      </c>
      <c r="C158" s="6">
        <v>1664</v>
      </c>
      <c r="D158" s="6">
        <v>1941</v>
      </c>
      <c r="E158" s="6">
        <v>2358</v>
      </c>
      <c r="F158" s="6">
        <v>2496</v>
      </c>
      <c r="G158" s="6">
        <v>2219</v>
      </c>
      <c r="H158" s="6">
        <v>1387</v>
      </c>
      <c r="I158" s="6">
        <v>1664</v>
      </c>
      <c r="J158" s="6">
        <v>2358</v>
      </c>
      <c r="K158" s="6">
        <v>3606</v>
      </c>
      <c r="L158" s="6">
        <v>3606</v>
      </c>
      <c r="M158" s="6">
        <v>3051</v>
      </c>
      <c r="N158" s="43">
        <v>27735</v>
      </c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  <c r="AA158" s="52"/>
    </row>
    <row r="159" spans="1:27" x14ac:dyDescent="0.25">
      <c r="A159" s="5" t="s">
        <v>162</v>
      </c>
      <c r="B159" s="6">
        <v>988</v>
      </c>
      <c r="C159" s="6">
        <v>936</v>
      </c>
      <c r="D159" s="6">
        <v>624</v>
      </c>
      <c r="E159" s="6">
        <v>364</v>
      </c>
      <c r="F159" s="6">
        <v>416</v>
      </c>
      <c r="G159" s="6">
        <v>1144</v>
      </c>
      <c r="H159" s="6">
        <v>1092</v>
      </c>
      <c r="I159" s="6">
        <v>1300</v>
      </c>
      <c r="J159" s="6">
        <v>1560</v>
      </c>
      <c r="K159" s="6">
        <v>728</v>
      </c>
      <c r="L159" s="6">
        <v>572</v>
      </c>
      <c r="M159" s="6">
        <v>676</v>
      </c>
      <c r="N159" s="43">
        <v>10401</v>
      </c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52"/>
      <c r="Z159" s="52"/>
      <c r="AA159" s="52"/>
    </row>
    <row r="160" spans="1:27" x14ac:dyDescent="0.25">
      <c r="A160" s="5" t="s">
        <v>163</v>
      </c>
      <c r="B160" s="6">
        <v>1872</v>
      </c>
      <c r="C160" s="6">
        <v>2085</v>
      </c>
      <c r="D160" s="6">
        <v>1716</v>
      </c>
      <c r="E160" s="6">
        <v>2384</v>
      </c>
      <c r="F160" s="6">
        <v>3432</v>
      </c>
      <c r="G160" s="6">
        <v>2808</v>
      </c>
      <c r="H160" s="6">
        <v>2174</v>
      </c>
      <c r="I160" s="6">
        <v>1744</v>
      </c>
      <c r="J160" s="6">
        <v>2340</v>
      </c>
      <c r="K160" s="6">
        <v>3120</v>
      </c>
      <c r="L160" s="6">
        <v>4368</v>
      </c>
      <c r="M160" s="6">
        <v>3158</v>
      </c>
      <c r="N160" s="43">
        <v>31201</v>
      </c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52"/>
      <c r="Z160" s="52"/>
      <c r="AA160" s="52"/>
    </row>
    <row r="161" spans="1:27" x14ac:dyDescent="0.25">
      <c r="A161" s="13" t="s">
        <v>164</v>
      </c>
      <c r="B161" s="6">
        <v>9403</v>
      </c>
      <c r="C161" s="6">
        <v>8297</v>
      </c>
      <c r="D161" s="6">
        <v>8629</v>
      </c>
      <c r="E161" s="6">
        <v>7522</v>
      </c>
      <c r="F161" s="6">
        <v>7567</v>
      </c>
      <c r="G161" s="6">
        <v>7744</v>
      </c>
      <c r="H161" s="6">
        <v>9735</v>
      </c>
      <c r="I161" s="6">
        <v>10841</v>
      </c>
      <c r="J161" s="6">
        <v>9514</v>
      </c>
      <c r="K161" s="6">
        <v>9735</v>
      </c>
      <c r="L161" s="6">
        <v>12169</v>
      </c>
      <c r="M161" s="6">
        <v>9469</v>
      </c>
      <c r="N161" s="43">
        <v>110624</v>
      </c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  <c r="Z161" s="52"/>
      <c r="AA161" s="52"/>
    </row>
    <row r="162" spans="1:27" x14ac:dyDescent="0.25">
      <c r="A162" s="13" t="s">
        <v>165</v>
      </c>
      <c r="B162" s="6">
        <v>246</v>
      </c>
      <c r="C162" s="6">
        <v>1844</v>
      </c>
      <c r="D162" s="6">
        <v>246</v>
      </c>
      <c r="E162" s="6">
        <v>246</v>
      </c>
      <c r="F162" s="6">
        <v>1844</v>
      </c>
      <c r="G162" s="6">
        <v>737</v>
      </c>
      <c r="H162" s="6">
        <v>492</v>
      </c>
      <c r="I162" s="6">
        <v>2704</v>
      </c>
      <c r="J162" s="6">
        <v>1475</v>
      </c>
      <c r="K162" s="6">
        <v>1844</v>
      </c>
      <c r="L162" s="6">
        <v>246</v>
      </c>
      <c r="M162" s="6">
        <v>369</v>
      </c>
      <c r="N162" s="43">
        <v>12292</v>
      </c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  <c r="Z162" s="52"/>
      <c r="AA162" s="52"/>
    </row>
    <row r="163" spans="1:27" x14ac:dyDescent="0.25">
      <c r="A163" s="13" t="s">
        <v>166</v>
      </c>
      <c r="B163" s="6">
        <v>54</v>
      </c>
      <c r="C163" s="6">
        <v>83</v>
      </c>
      <c r="D163" s="6">
        <v>131</v>
      </c>
      <c r="E163" s="6">
        <v>165</v>
      </c>
      <c r="F163" s="6">
        <v>123</v>
      </c>
      <c r="G163" s="6">
        <v>65</v>
      </c>
      <c r="H163" s="6">
        <v>72</v>
      </c>
      <c r="I163" s="6">
        <v>169</v>
      </c>
      <c r="J163" s="6">
        <v>184</v>
      </c>
      <c r="K163" s="6">
        <v>207</v>
      </c>
      <c r="L163" s="6">
        <v>199</v>
      </c>
      <c r="M163" s="6">
        <v>84</v>
      </c>
      <c r="N163" s="43">
        <v>1536</v>
      </c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  <c r="AA163" s="52"/>
    </row>
    <row r="164" spans="1:27" x14ac:dyDescent="0.25">
      <c r="A164" s="13" t="s">
        <v>167</v>
      </c>
      <c r="B164" s="6">
        <v>115</v>
      </c>
      <c r="C164" s="6">
        <v>92</v>
      </c>
      <c r="D164" s="6">
        <v>69</v>
      </c>
      <c r="E164" s="6">
        <v>69</v>
      </c>
      <c r="F164" s="6">
        <v>230</v>
      </c>
      <c r="G164" s="6">
        <v>253</v>
      </c>
      <c r="H164" s="6">
        <v>184</v>
      </c>
      <c r="I164" s="6">
        <v>92</v>
      </c>
      <c r="J164" s="6">
        <v>230</v>
      </c>
      <c r="K164" s="6">
        <v>300</v>
      </c>
      <c r="L164" s="6">
        <v>415</v>
      </c>
      <c r="M164" s="6">
        <v>253</v>
      </c>
      <c r="N164" s="43">
        <v>2304</v>
      </c>
      <c r="O164" s="52"/>
      <c r="P164" s="52"/>
      <c r="Q164" s="52"/>
      <c r="R164" s="52"/>
      <c r="S164" s="52"/>
      <c r="T164" s="52"/>
      <c r="U164" s="52"/>
      <c r="V164" s="52"/>
      <c r="W164" s="52"/>
      <c r="X164" s="52"/>
      <c r="Y164" s="52"/>
      <c r="Z164" s="52"/>
      <c r="AA164" s="52"/>
    </row>
    <row r="165" spans="1:27" x14ac:dyDescent="0.25">
      <c r="A165" s="13" t="s">
        <v>168</v>
      </c>
      <c r="B165" s="46">
        <v>14065</v>
      </c>
      <c r="C165" s="46">
        <v>15000</v>
      </c>
      <c r="D165" s="46">
        <v>13356</v>
      </c>
      <c r="E165" s="46">
        <v>13108</v>
      </c>
      <c r="F165" s="46">
        <v>16108</v>
      </c>
      <c r="G165" s="46">
        <v>14970</v>
      </c>
      <c r="H165" s="46">
        <v>15136</v>
      </c>
      <c r="I165" s="46">
        <v>18515</v>
      </c>
      <c r="J165" s="46">
        <v>17661</v>
      </c>
      <c r="K165" s="46">
        <v>19539</v>
      </c>
      <c r="L165" s="46">
        <v>21574</v>
      </c>
      <c r="M165" s="46">
        <v>17061</v>
      </c>
      <c r="N165" s="46">
        <v>196092</v>
      </c>
      <c r="O165" s="52"/>
      <c r="P165" s="52"/>
      <c r="Q165" s="52"/>
      <c r="R165" s="52"/>
      <c r="S165" s="52"/>
      <c r="T165" s="52"/>
      <c r="U165" s="52"/>
      <c r="V165" s="52"/>
      <c r="W165" s="52"/>
      <c r="X165" s="52"/>
      <c r="Y165" s="52"/>
      <c r="Z165" s="52"/>
      <c r="AA165" s="52"/>
    </row>
    <row r="166" spans="1:27" x14ac:dyDescent="0.25">
      <c r="A166" s="13" t="s">
        <v>169</v>
      </c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>
        <v>124</v>
      </c>
      <c r="N166" s="43">
        <v>124</v>
      </c>
      <c r="O166" s="52"/>
      <c r="P166" s="52"/>
      <c r="Q166" s="52"/>
      <c r="R166" s="52"/>
      <c r="S166" s="52"/>
      <c r="T166" s="52"/>
      <c r="U166" s="52"/>
      <c r="V166" s="52"/>
      <c r="W166" s="52"/>
      <c r="X166" s="52"/>
      <c r="Y166" s="52"/>
      <c r="Z166" s="52"/>
      <c r="AA166" s="52"/>
    </row>
    <row r="167" spans="1:27" x14ac:dyDescent="0.25">
      <c r="A167" s="13" t="s">
        <v>77</v>
      </c>
      <c r="B167" s="6"/>
      <c r="C167" s="6"/>
      <c r="D167" s="6"/>
      <c r="E167" s="6"/>
      <c r="F167" s="6"/>
      <c r="G167" s="6"/>
      <c r="H167" s="6"/>
      <c r="I167" s="6">
        <v>1017</v>
      </c>
      <c r="J167" s="6">
        <v>840</v>
      </c>
      <c r="K167" s="6">
        <v>1238</v>
      </c>
      <c r="L167" s="6">
        <v>751</v>
      </c>
      <c r="M167" s="6">
        <v>575</v>
      </c>
      <c r="N167" s="43">
        <v>4420</v>
      </c>
      <c r="O167" s="52"/>
      <c r="P167" s="52"/>
      <c r="Q167" s="52"/>
      <c r="R167" s="52"/>
      <c r="S167" s="52"/>
      <c r="T167" s="52"/>
      <c r="U167" s="52"/>
      <c r="V167" s="52"/>
      <c r="W167" s="52"/>
      <c r="X167" s="52"/>
      <c r="Y167" s="52"/>
      <c r="Z167" s="52"/>
      <c r="AA167" s="52"/>
    </row>
    <row r="168" spans="1:27" x14ac:dyDescent="0.25">
      <c r="A168" s="13" t="s">
        <v>78</v>
      </c>
      <c r="B168" s="6"/>
      <c r="C168" s="6"/>
      <c r="D168" s="6"/>
      <c r="E168" s="6"/>
      <c r="F168" s="6"/>
      <c r="G168" s="6"/>
      <c r="H168" s="6"/>
      <c r="I168" s="6">
        <v>353</v>
      </c>
      <c r="J168" s="6">
        <v>409</v>
      </c>
      <c r="K168" s="6">
        <v>427</v>
      </c>
      <c r="L168" s="6">
        <v>409</v>
      </c>
      <c r="M168" s="6">
        <v>260</v>
      </c>
      <c r="N168" s="43">
        <v>1858</v>
      </c>
      <c r="O168" s="52"/>
      <c r="P168" s="52"/>
      <c r="Q168" s="52"/>
      <c r="R168" s="52"/>
      <c r="S168" s="52"/>
      <c r="T168" s="52"/>
      <c r="U168" s="52"/>
      <c r="V168" s="52"/>
      <c r="W168" s="52"/>
      <c r="X168" s="52"/>
      <c r="Y168" s="52"/>
      <c r="Z168" s="52"/>
      <c r="AA168" s="52"/>
    </row>
    <row r="169" spans="1:27" x14ac:dyDescent="0.25">
      <c r="A169" s="13" t="s">
        <v>79</v>
      </c>
      <c r="B169" s="45" t="s">
        <v>80</v>
      </c>
      <c r="C169" s="45" t="s">
        <v>81</v>
      </c>
      <c r="D169" s="45" t="s">
        <v>81</v>
      </c>
      <c r="E169" s="45" t="s">
        <v>81</v>
      </c>
      <c r="F169" s="45" t="s">
        <v>82</v>
      </c>
      <c r="G169" s="45" t="s">
        <v>81</v>
      </c>
      <c r="H169" s="45" t="s">
        <v>81</v>
      </c>
      <c r="I169" s="46">
        <v>1370</v>
      </c>
      <c r="J169" s="46">
        <v>1249</v>
      </c>
      <c r="K169" s="46">
        <v>1665</v>
      </c>
      <c r="L169" s="46">
        <v>1160</v>
      </c>
      <c r="M169" s="46">
        <v>835</v>
      </c>
      <c r="N169" s="46">
        <v>6278</v>
      </c>
      <c r="O169" s="52"/>
      <c r="P169" s="52"/>
      <c r="Q169" s="52"/>
      <c r="R169" s="52"/>
      <c r="S169" s="52"/>
      <c r="T169" s="52"/>
      <c r="U169" s="52"/>
      <c r="V169" s="52"/>
      <c r="W169" s="52"/>
      <c r="X169" s="52"/>
      <c r="Y169" s="52"/>
      <c r="Z169" s="52"/>
      <c r="AA169" s="52"/>
    </row>
    <row r="170" spans="1:27" x14ac:dyDescent="0.25">
      <c r="A170" s="13" t="s">
        <v>170</v>
      </c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 t="s">
        <v>30</v>
      </c>
      <c r="O170" s="52"/>
      <c r="P170" s="52"/>
      <c r="Q170" s="52"/>
      <c r="R170" s="52"/>
      <c r="S170" s="52"/>
      <c r="T170" s="52"/>
      <c r="U170" s="52"/>
      <c r="V170" s="52"/>
      <c r="W170" s="52"/>
      <c r="X170" s="52"/>
      <c r="Y170" s="52"/>
      <c r="Z170" s="52"/>
      <c r="AA170" s="52"/>
    </row>
    <row r="171" spans="1:27" x14ac:dyDescent="0.25">
      <c r="A171" s="13" t="s">
        <v>171</v>
      </c>
      <c r="B171" s="6">
        <v>250</v>
      </c>
      <c r="C171" s="6">
        <v>300</v>
      </c>
      <c r="D171" s="6">
        <v>350</v>
      </c>
      <c r="E171" s="6">
        <v>425</v>
      </c>
      <c r="F171" s="6">
        <v>450</v>
      </c>
      <c r="G171" s="6">
        <v>400</v>
      </c>
      <c r="H171" s="6">
        <v>250</v>
      </c>
      <c r="I171" s="6">
        <v>300</v>
      </c>
      <c r="J171" s="6">
        <v>425</v>
      </c>
      <c r="K171" s="6">
        <v>649</v>
      </c>
      <c r="L171" s="6">
        <v>649</v>
      </c>
      <c r="M171" s="6">
        <v>549</v>
      </c>
      <c r="N171" s="43">
        <v>4995</v>
      </c>
      <c r="O171" s="52"/>
      <c r="P171" s="52"/>
      <c r="Q171" s="52"/>
      <c r="R171" s="52"/>
      <c r="S171" s="52"/>
      <c r="T171" s="52"/>
      <c r="U171" s="52"/>
      <c r="V171" s="52"/>
      <c r="W171" s="52"/>
      <c r="X171" s="52"/>
      <c r="Y171" s="52"/>
      <c r="Z171" s="52"/>
      <c r="AA171" s="52"/>
    </row>
    <row r="172" spans="1:27" x14ac:dyDescent="0.25">
      <c r="A172" s="13" t="s">
        <v>172</v>
      </c>
      <c r="B172" s="6">
        <v>492</v>
      </c>
      <c r="C172" s="6">
        <v>702</v>
      </c>
      <c r="D172" s="6">
        <v>492</v>
      </c>
      <c r="E172" s="6">
        <v>421</v>
      </c>
      <c r="F172" s="6">
        <v>562</v>
      </c>
      <c r="G172" s="6">
        <v>492</v>
      </c>
      <c r="H172" s="6">
        <v>562</v>
      </c>
      <c r="I172" s="6">
        <v>702</v>
      </c>
      <c r="J172" s="6">
        <v>632</v>
      </c>
      <c r="K172" s="6">
        <v>702</v>
      </c>
      <c r="L172" s="6">
        <v>632</v>
      </c>
      <c r="M172" s="6">
        <v>632</v>
      </c>
      <c r="N172" s="43">
        <v>7022</v>
      </c>
      <c r="O172" s="52"/>
      <c r="P172" s="52"/>
      <c r="Q172" s="52"/>
      <c r="R172" s="52"/>
      <c r="S172" s="52"/>
      <c r="T172" s="52"/>
      <c r="U172" s="52"/>
      <c r="V172" s="52"/>
      <c r="W172" s="52"/>
      <c r="X172" s="52"/>
      <c r="Y172" s="52"/>
      <c r="Z172" s="52"/>
      <c r="AA172" s="52"/>
    </row>
    <row r="173" spans="1:27" x14ac:dyDescent="0.25">
      <c r="A173" s="13" t="s">
        <v>173</v>
      </c>
      <c r="B173" s="6"/>
      <c r="C173" s="6"/>
      <c r="D173" s="6"/>
      <c r="E173" s="6"/>
      <c r="F173" s="6"/>
      <c r="G173" s="6"/>
      <c r="H173" s="6"/>
      <c r="I173" s="6">
        <v>106</v>
      </c>
      <c r="J173" s="6"/>
      <c r="K173" s="6">
        <v>15</v>
      </c>
      <c r="L173" s="6"/>
      <c r="M173" s="6">
        <v>528</v>
      </c>
      <c r="N173" s="43">
        <v>649</v>
      </c>
      <c r="O173" s="52"/>
      <c r="P173" s="52"/>
      <c r="Q173" s="52"/>
      <c r="R173" s="52"/>
      <c r="S173" s="52"/>
      <c r="T173" s="52"/>
      <c r="U173" s="52"/>
      <c r="V173" s="52"/>
      <c r="W173" s="52"/>
      <c r="X173" s="52"/>
      <c r="Y173" s="52"/>
      <c r="Z173" s="52"/>
      <c r="AA173" s="52"/>
    </row>
    <row r="174" spans="1:27" x14ac:dyDescent="0.25">
      <c r="A174" s="13" t="s">
        <v>174</v>
      </c>
      <c r="B174" s="46">
        <v>741</v>
      </c>
      <c r="C174" s="46">
        <v>1002</v>
      </c>
      <c r="D174" s="46">
        <v>841</v>
      </c>
      <c r="E174" s="46">
        <v>846</v>
      </c>
      <c r="F174" s="46">
        <v>1011</v>
      </c>
      <c r="G174" s="46">
        <v>891</v>
      </c>
      <c r="H174" s="46">
        <v>812</v>
      </c>
      <c r="I174" s="46">
        <v>1107</v>
      </c>
      <c r="J174" s="46">
        <v>1057</v>
      </c>
      <c r="K174" s="46">
        <v>1367</v>
      </c>
      <c r="L174" s="46">
        <v>1281</v>
      </c>
      <c r="M174" s="46">
        <v>1710</v>
      </c>
      <c r="N174" s="46">
        <v>12666</v>
      </c>
      <c r="O174" s="52"/>
      <c r="P174" s="52"/>
      <c r="Q174" s="52"/>
      <c r="R174" s="52"/>
      <c r="S174" s="52"/>
      <c r="T174" s="52"/>
      <c r="U174" s="52"/>
      <c r="V174" s="52"/>
      <c r="W174" s="52"/>
      <c r="X174" s="52"/>
      <c r="Y174" s="52"/>
      <c r="Z174" s="52"/>
      <c r="AA174" s="52"/>
    </row>
    <row r="175" spans="1:27" x14ac:dyDescent="0.25">
      <c r="A175" s="13" t="s">
        <v>83</v>
      </c>
      <c r="B175" s="46">
        <v>15539</v>
      </c>
      <c r="C175" s="46">
        <v>16912</v>
      </c>
      <c r="D175" s="46">
        <v>15112</v>
      </c>
      <c r="E175" s="46">
        <v>14922</v>
      </c>
      <c r="F175" s="46">
        <v>18286</v>
      </c>
      <c r="G175" s="46">
        <v>16864</v>
      </c>
      <c r="H175" s="46">
        <v>16773</v>
      </c>
      <c r="I175" s="46">
        <v>22030</v>
      </c>
      <c r="J175" s="46">
        <v>21082</v>
      </c>
      <c r="K175" s="46">
        <v>24119</v>
      </c>
      <c r="L175" s="46">
        <v>25544</v>
      </c>
      <c r="M175" s="46">
        <v>21050</v>
      </c>
      <c r="N175" s="46">
        <v>228233</v>
      </c>
      <c r="O175" s="52"/>
      <c r="P175" s="52"/>
      <c r="Q175" s="52"/>
      <c r="R175" s="52"/>
      <c r="S175" s="52"/>
      <c r="T175" s="52"/>
      <c r="U175" s="52"/>
      <c r="V175" s="52"/>
      <c r="W175" s="52"/>
      <c r="X175" s="52"/>
      <c r="Y175" s="52"/>
      <c r="Z175" s="52"/>
      <c r="AA175" s="52"/>
    </row>
    <row r="176" spans="1:27" x14ac:dyDescent="0.25">
      <c r="A176" s="50" t="s">
        <v>84</v>
      </c>
      <c r="B176" s="46">
        <v>7247</v>
      </c>
      <c r="C176" s="46">
        <v>10401</v>
      </c>
      <c r="D176" s="46">
        <v>8984</v>
      </c>
      <c r="E176" s="46">
        <v>10153</v>
      </c>
      <c r="F176" s="46">
        <v>12665</v>
      </c>
      <c r="G176" s="46">
        <v>9786</v>
      </c>
      <c r="H176" s="46">
        <v>8622</v>
      </c>
      <c r="I176" s="46">
        <v>9445</v>
      </c>
      <c r="J176" s="46">
        <v>12370</v>
      </c>
      <c r="K176" s="46">
        <v>11498</v>
      </c>
      <c r="L176" s="46">
        <v>11926</v>
      </c>
      <c r="M176" s="46">
        <v>11944</v>
      </c>
      <c r="N176" s="46">
        <v>125041</v>
      </c>
      <c r="O176" s="52"/>
      <c r="P176" s="52"/>
      <c r="Q176" s="52"/>
      <c r="R176" s="52"/>
      <c r="S176" s="52"/>
      <c r="T176" s="52"/>
      <c r="U176" s="52"/>
      <c r="V176" s="52"/>
      <c r="W176" s="52"/>
      <c r="X176" s="52"/>
      <c r="Y176" s="52"/>
      <c r="Z176" s="52"/>
      <c r="AA176" s="52"/>
    </row>
    <row r="177" spans="1:27" x14ac:dyDescent="0.25">
      <c r="A177" s="50" t="s">
        <v>85</v>
      </c>
      <c r="B177" s="19">
        <v>0.32</v>
      </c>
      <c r="C177" s="19">
        <v>0.38</v>
      </c>
      <c r="D177" s="19">
        <v>0.37</v>
      </c>
      <c r="E177" s="19">
        <v>0.4</v>
      </c>
      <c r="F177" s="19">
        <v>0.41</v>
      </c>
      <c r="G177" s="19">
        <v>0.37</v>
      </c>
      <c r="H177" s="57">
        <v>0.34</v>
      </c>
      <c r="I177" s="19">
        <v>0.3</v>
      </c>
      <c r="J177" s="19">
        <v>0.37</v>
      </c>
      <c r="K177" s="19">
        <v>0.32</v>
      </c>
      <c r="L177" s="19">
        <v>0.32</v>
      </c>
      <c r="M177" s="57">
        <v>0.36</v>
      </c>
      <c r="N177" s="19">
        <v>0.35</v>
      </c>
      <c r="O177" s="52"/>
      <c r="P177" s="52"/>
      <c r="Q177" s="52"/>
      <c r="R177" s="52"/>
      <c r="S177" s="52"/>
      <c r="T177" s="52"/>
      <c r="U177" s="52"/>
      <c r="V177" s="52"/>
      <c r="W177" s="52"/>
      <c r="X177" s="52"/>
      <c r="Y177" s="52"/>
      <c r="Z177" s="52"/>
      <c r="AA177" s="52"/>
    </row>
  </sheetData>
  <sheetProtection algorithmName="SHA-512" hashValue="olCKgNMilClZ37aWLpJA9+NHQ+NYd2v6WggnUachbc3tyB/Xr1/tRpaspJDQZCxK/9pS/BL4UFp1qZrTb4+iVA==" saltValue="CUM7jR1WJGOeVBlNkj5Fug==" spinCount="100000" sheet="1" objects="1" scenarios="1"/>
  <mergeCells count="3">
    <mergeCell ref="A1:N1"/>
    <mergeCell ref="A2:N2"/>
    <mergeCell ref="A148:N14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A6ECA-3335-4920-B2FB-8041CCF55715}">
  <dimension ref="A1:AA177"/>
  <sheetViews>
    <sheetView zoomScale="120" zoomScaleNormal="120" workbookViewId="0">
      <pane xSplit="1" ySplit="4" topLeftCell="M14" activePane="bottomRight" state="frozen"/>
      <selection pane="topRight" activeCell="B1" sqref="B1"/>
      <selection pane="bottomLeft" activeCell="A5" sqref="A5"/>
      <selection pane="bottomRight" activeCell="V25" sqref="V25"/>
    </sheetView>
  </sheetViews>
  <sheetFormatPr defaultColWidth="11" defaultRowHeight="15.75" x14ac:dyDescent="0.25"/>
  <cols>
    <col min="1" max="1" width="44.625" customWidth="1"/>
    <col min="2" max="2" width="11.375" customWidth="1"/>
    <col min="3" max="5" width="12.5" bestFit="1" customWidth="1"/>
    <col min="6" max="6" width="12.625" bestFit="1" customWidth="1"/>
    <col min="7" max="10" width="12.5" bestFit="1" customWidth="1"/>
    <col min="11" max="13" width="12.625" bestFit="1" customWidth="1"/>
    <col min="14" max="14" width="13.625" bestFit="1" customWidth="1"/>
    <col min="15" max="15" width="3" customWidth="1"/>
    <col min="16" max="16" width="9.5" customWidth="1"/>
    <col min="17" max="17" width="24.625" customWidth="1"/>
    <col min="18" max="18" width="1.375" customWidth="1"/>
    <col min="21" max="21" width="20.125" customWidth="1"/>
  </cols>
  <sheetData>
    <row r="1" spans="1:27" ht="30.95" customHeight="1" x14ac:dyDescent="0.4">
      <c r="A1" s="182" t="s">
        <v>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</row>
    <row r="2" spans="1:27" ht="20.100000000000001" customHeight="1" x14ac:dyDescent="0.3">
      <c r="A2" s="183" t="s">
        <v>1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</row>
    <row r="3" spans="1:27" ht="20.25" x14ac:dyDescent="0.3">
      <c r="A3" s="12"/>
      <c r="B3" s="96" t="s">
        <v>2</v>
      </c>
      <c r="C3" s="94"/>
      <c r="D3" s="94"/>
      <c r="E3" s="94"/>
      <c r="F3" s="95"/>
      <c r="G3" s="95"/>
      <c r="H3" s="95"/>
      <c r="I3" s="12"/>
      <c r="J3" s="12"/>
      <c r="K3" s="12"/>
      <c r="L3" s="12"/>
      <c r="M3" s="12"/>
      <c r="N3" s="12"/>
      <c r="O3" s="12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</row>
    <row r="4" spans="1:27" x14ac:dyDescent="0.25">
      <c r="A4" s="6"/>
      <c r="B4" s="39" t="s">
        <v>3</v>
      </c>
      <c r="C4" s="40">
        <v>45068</v>
      </c>
      <c r="D4" s="39" t="s">
        <v>4</v>
      </c>
      <c r="E4" s="39" t="s">
        <v>5</v>
      </c>
      <c r="F4" s="39" t="s">
        <v>6</v>
      </c>
      <c r="G4" s="39" t="s">
        <v>7</v>
      </c>
      <c r="H4" s="39" t="s">
        <v>8</v>
      </c>
      <c r="I4" s="39" t="s">
        <v>9</v>
      </c>
      <c r="J4" s="39" t="s">
        <v>10</v>
      </c>
      <c r="K4" s="39" t="s">
        <v>11</v>
      </c>
      <c r="L4" s="39" t="s">
        <v>12</v>
      </c>
      <c r="M4" s="39" t="s">
        <v>13</v>
      </c>
      <c r="N4" s="39" t="s">
        <v>14</v>
      </c>
      <c r="O4" s="12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</row>
    <row r="5" spans="1:27" ht="23.25" x14ac:dyDescent="0.35">
      <c r="A5" s="41" t="s">
        <v>15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12"/>
      <c r="P5" s="129" t="s">
        <v>244</v>
      </c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</row>
    <row r="6" spans="1:27" ht="18.75" x14ac:dyDescent="0.3">
      <c r="A6" s="13" t="s">
        <v>16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12"/>
      <c r="P6" s="120"/>
      <c r="Q6" s="120" t="s">
        <v>238</v>
      </c>
      <c r="R6" s="38"/>
      <c r="S6" s="115" t="s">
        <v>17</v>
      </c>
      <c r="T6" s="38" t="s">
        <v>18</v>
      </c>
      <c r="U6" s="38" t="s">
        <v>19</v>
      </c>
      <c r="V6" s="38" t="s">
        <v>20</v>
      </c>
      <c r="W6" s="38" t="s">
        <v>21</v>
      </c>
      <c r="X6" s="38" t="s">
        <v>22</v>
      </c>
      <c r="Y6" s="38"/>
      <c r="Z6" s="38" t="s">
        <v>23</v>
      </c>
      <c r="AA6" s="38"/>
    </row>
    <row r="7" spans="1:27" ht="18.75" x14ac:dyDescent="0.3">
      <c r="A7" s="13" t="s">
        <v>24</v>
      </c>
      <c r="B7" s="22">
        <f>'TTM Serv '!B7*(1+'ProForma Serv'!$P$7)*(1+$P$9)</f>
        <v>2633.6035000000002</v>
      </c>
      <c r="C7" s="22">
        <f>'TTM Serv '!C7*(1+'ProForma Serv'!$P$7)*(1+$P$9)</f>
        <v>1975.5160000000001</v>
      </c>
      <c r="D7" s="22">
        <f>'TTM Serv '!D7*(1+'ProForma Serv'!$P$7)*(1+$P$9)</f>
        <v>3291.6909999999998</v>
      </c>
      <c r="E7" s="22">
        <f>'TTM Serv '!E7*(1+'ProForma Serv'!$P$7)*(1+$P$9)</f>
        <v>6584.6355000000003</v>
      </c>
      <c r="F7" s="22">
        <f>'TTM Serv '!F7*(1+'ProForma Serv'!$P$7)*(1+$P$9)</f>
        <v>7242.723</v>
      </c>
      <c r="G7" s="22">
        <f>'TTM Serv '!G7*(1+'ProForma Serv'!$P$7)*(1+$P$9)</f>
        <v>5267.2070000000003</v>
      </c>
      <c r="H7" s="22">
        <f>'TTM Serv '!H7*(1+'ProForma Serv'!$P$7)*(1+$P$9)</f>
        <v>2633.6035000000002</v>
      </c>
      <c r="I7" s="22">
        <f>'TTM Serv '!I7*(1+'ProForma Serv'!$P$7)*(1+$P$9)</f>
        <v>1975.5160000000001</v>
      </c>
      <c r="J7" s="22">
        <f>'TTM Serv '!J7*(1+'ProForma Serv'!$P$7)*(1+$P$9)</f>
        <v>6584.6355000000003</v>
      </c>
      <c r="K7" s="22">
        <f>'TTM Serv '!K7*(1+'ProForma Serv'!$P$7)*(1+$P$9)</f>
        <v>7242.723</v>
      </c>
      <c r="L7" s="22">
        <f>'TTM Serv '!L7*(1+'ProForma Serv'!$P$7)*(1+$P$9)</f>
        <v>11851.842500000001</v>
      </c>
      <c r="M7" s="22">
        <f>'TTM Serv '!M7*(1+'ProForma Serv'!$P$7)*(1+$P$9)</f>
        <v>8560.1514999999999</v>
      </c>
      <c r="N7" s="49">
        <f>SUM(B7:M7)</f>
        <v>65843.847999999998</v>
      </c>
      <c r="O7" s="12"/>
      <c r="P7" s="169">
        <v>0.09</v>
      </c>
      <c r="Q7" s="167" t="s">
        <v>236</v>
      </c>
      <c r="R7" s="38"/>
      <c r="S7" s="19">
        <v>0.5</v>
      </c>
      <c r="T7" s="38">
        <v>2497.645</v>
      </c>
      <c r="U7" s="38">
        <v>3001.1350000000002</v>
      </c>
      <c r="V7" s="44">
        <v>27735.49</v>
      </c>
      <c r="W7" s="38"/>
      <c r="X7" s="38"/>
      <c r="Y7" s="38"/>
      <c r="Z7" s="38">
        <v>33234.269999999997</v>
      </c>
      <c r="AA7" s="38"/>
    </row>
    <row r="8" spans="1:27" ht="18.75" x14ac:dyDescent="0.3">
      <c r="A8" s="13" t="s">
        <v>25</v>
      </c>
      <c r="B8" s="22">
        <f>'TTM Serv '!B8+('TTM Serv '!B8*'ProForma Serv'!$P$8)</f>
        <v>0</v>
      </c>
      <c r="C8" s="22">
        <f>'TTM Serv '!C8+('TTM Serv '!C8*'ProForma Serv'!$P$8)</f>
        <v>0</v>
      </c>
      <c r="D8" s="22">
        <f>'TTM Serv '!D8+('TTM Serv '!D8*'ProForma Serv'!$P$8)</f>
        <v>0</v>
      </c>
      <c r="E8" s="22">
        <f>'TTM Serv '!E8+('TTM Serv '!E8*'ProForma Serv'!$P$8)</f>
        <v>0</v>
      </c>
      <c r="F8" s="22">
        <f>'TTM Serv '!F8+('TTM Serv '!F8*'ProForma Serv'!$P$8)</f>
        <v>0</v>
      </c>
      <c r="G8" s="22">
        <f>'TTM Serv '!G8+('TTM Serv '!G8*'ProForma Serv'!$P$8)</f>
        <v>0</v>
      </c>
      <c r="H8" s="22">
        <f>'TTM Serv '!H8+('TTM Serv '!H8*'ProForma Serv'!$P$8)</f>
        <v>0</v>
      </c>
      <c r="I8" s="22">
        <f>'TTM Serv '!I8+('TTM Serv '!I8*'ProForma Serv'!$P$8)</f>
        <v>0</v>
      </c>
      <c r="J8" s="22">
        <f>'TTM Serv '!J8+('TTM Serv '!J8*'ProForma Serv'!$P$8)</f>
        <v>0</v>
      </c>
      <c r="K8" s="22">
        <f>'TTM Serv '!K8+('TTM Serv '!K8*'ProForma Serv'!$P$8)</f>
        <v>0</v>
      </c>
      <c r="L8" s="22">
        <f>'TTM Serv '!L8+('TTM Serv '!L8*'ProForma Serv'!$P$8)</f>
        <v>0</v>
      </c>
      <c r="M8" s="22">
        <f>'TTM Serv '!M8+('TTM Serv '!M8*'ProForma Serv'!$P$8)</f>
        <v>0</v>
      </c>
      <c r="N8" s="49">
        <f>SUM(B8:M8)</f>
        <v>0</v>
      </c>
      <c r="O8" s="12"/>
      <c r="P8" s="124">
        <v>-1</v>
      </c>
      <c r="Q8" s="166" t="s">
        <v>235</v>
      </c>
      <c r="R8" s="38"/>
      <c r="S8" s="19">
        <v>0.1</v>
      </c>
      <c r="T8" s="38">
        <v>499.529</v>
      </c>
      <c r="U8" s="38">
        <v>600.22699999999998</v>
      </c>
      <c r="V8" s="44">
        <v>10400.51</v>
      </c>
      <c r="W8" s="38"/>
      <c r="X8" s="38"/>
      <c r="Y8" s="38"/>
      <c r="Z8" s="38">
        <v>11500.263000000001</v>
      </c>
      <c r="AA8" s="38"/>
    </row>
    <row r="9" spans="1:27" ht="18.75" customHeight="1" x14ac:dyDescent="0.3">
      <c r="A9" s="13" t="s">
        <v>26</v>
      </c>
      <c r="B9" s="22">
        <f>'TTM Serv '!B9*(1+'ProForma Serv'!$P$7)*(1+$P$9)</f>
        <v>3687.797</v>
      </c>
      <c r="C9" s="22">
        <f>'TTM Serv '!C9*(1+'ProForma Serv'!$P$7)*(1+$P$9)</f>
        <v>3160.0735</v>
      </c>
      <c r="D9" s="22">
        <f>'TTM Serv '!D9*(1+'ProForma Serv'!$P$7)*(1+$P$9)</f>
        <v>3160.0735</v>
      </c>
      <c r="E9" s="22">
        <f>'TTM Serv '!E9*(1+'ProForma Serv'!$P$7)*(1+$P$9)</f>
        <v>4214.2669999999998</v>
      </c>
      <c r="F9" s="22">
        <f>'TTM Serv '!F9*(1+'ProForma Serv'!$P$7)*(1+$P$9)</f>
        <v>5267.2070000000003</v>
      </c>
      <c r="G9" s="22">
        <f>'TTM Serv '!G9*(1+'ProForma Serv'!$P$7)*(1+$P$9)</f>
        <v>5267.2070000000003</v>
      </c>
      <c r="H9" s="22">
        <f>'TTM Serv '!H9*(1+'ProForma Serv'!$P$7)*(1+$P$9)</f>
        <v>3160.0735</v>
      </c>
      <c r="I9" s="22">
        <f>'TTM Serv '!I9*(1+'ProForma Serv'!$P$7)*(1+$P$9)</f>
        <v>2633.6035000000002</v>
      </c>
      <c r="J9" s="22">
        <f>'TTM Serv '!J9*(1+'ProForma Serv'!$P$7)*(1+$P$9)</f>
        <v>4214.2669999999998</v>
      </c>
      <c r="K9" s="22">
        <f>'TTM Serv '!K9*(1+'ProForma Serv'!$P$7)*(1+$P$9)</f>
        <v>4740.7370000000001</v>
      </c>
      <c r="L9" s="22">
        <f>'TTM Serv '!L9*(1+'ProForma Serv'!$P$7)*(1+$P$9)</f>
        <v>7900.8104999999996</v>
      </c>
      <c r="M9" s="22">
        <f>'TTM Serv '!M9*(1+'ProForma Serv'!$P$7)*(1+$P$9)</f>
        <v>5267.2070000000003</v>
      </c>
      <c r="N9" s="49">
        <f t="shared" ref="N9:N10" si="0">SUM(B9:M9)</f>
        <v>52673.323500000006</v>
      </c>
      <c r="O9" s="12"/>
      <c r="P9" s="118">
        <v>0.15</v>
      </c>
      <c r="Q9" s="168" t="s">
        <v>237</v>
      </c>
      <c r="R9" s="38"/>
      <c r="S9" s="19">
        <v>0.4</v>
      </c>
      <c r="T9" s="38">
        <v>1998.116</v>
      </c>
      <c r="U9" s="38">
        <v>2400.9079999999999</v>
      </c>
      <c r="V9" s="44">
        <v>31200.52</v>
      </c>
      <c r="W9" s="38"/>
      <c r="X9" s="38"/>
      <c r="Y9" s="38"/>
      <c r="Z9" s="38">
        <v>35599.544000000002</v>
      </c>
      <c r="AA9" s="38"/>
    </row>
    <row r="10" spans="1:27" ht="18.75" x14ac:dyDescent="0.3">
      <c r="A10" s="13" t="s">
        <v>27</v>
      </c>
      <c r="B10" s="46">
        <f>SUM(B7:B9)</f>
        <v>6321.4004999999997</v>
      </c>
      <c r="C10" s="46">
        <f t="shared" ref="C10:M10" si="1">SUM(C7:C9)</f>
        <v>5135.5895</v>
      </c>
      <c r="D10" s="46">
        <f t="shared" si="1"/>
        <v>6451.7644999999993</v>
      </c>
      <c r="E10" s="46">
        <f t="shared" si="1"/>
        <v>10798.9025</v>
      </c>
      <c r="F10" s="46">
        <f t="shared" si="1"/>
        <v>12509.93</v>
      </c>
      <c r="G10" s="46">
        <f t="shared" si="1"/>
        <v>10534.414000000001</v>
      </c>
      <c r="H10" s="46">
        <f t="shared" si="1"/>
        <v>5793.6769999999997</v>
      </c>
      <c r="I10" s="46">
        <f t="shared" si="1"/>
        <v>4609.1195000000007</v>
      </c>
      <c r="J10" s="46">
        <f t="shared" si="1"/>
        <v>10798.9025</v>
      </c>
      <c r="K10" s="46">
        <f t="shared" si="1"/>
        <v>11983.46</v>
      </c>
      <c r="L10" s="46">
        <f t="shared" si="1"/>
        <v>19752.652999999998</v>
      </c>
      <c r="M10" s="46">
        <f t="shared" si="1"/>
        <v>13827.3585</v>
      </c>
      <c r="N10" s="46">
        <f t="shared" si="0"/>
        <v>118517.1715</v>
      </c>
      <c r="O10" s="12"/>
      <c r="P10" s="120"/>
      <c r="Q10" s="120"/>
      <c r="R10" s="38"/>
      <c r="S10" s="117" t="s">
        <v>28</v>
      </c>
      <c r="T10" s="38">
        <v>4995.29</v>
      </c>
      <c r="U10" s="38">
        <v>6002.27</v>
      </c>
      <c r="V10" s="38">
        <v>69336.517000000007</v>
      </c>
      <c r="W10" s="38"/>
      <c r="X10" s="38"/>
      <c r="Y10" s="38"/>
      <c r="Z10" s="38"/>
      <c r="AA10" s="38"/>
    </row>
    <row r="11" spans="1:27" ht="18.75" x14ac:dyDescent="0.3">
      <c r="A11" s="13" t="s">
        <v>29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6"/>
      <c r="O11" s="12"/>
      <c r="P11" s="120"/>
      <c r="Q11" s="120" t="s">
        <v>239</v>
      </c>
      <c r="R11" s="38"/>
      <c r="S11" s="117" t="s">
        <v>28</v>
      </c>
      <c r="T11" s="38"/>
      <c r="U11" s="38"/>
      <c r="V11" s="38"/>
      <c r="W11" s="38"/>
      <c r="X11" s="38"/>
      <c r="Y11" s="38"/>
      <c r="Z11" s="38"/>
      <c r="AA11" s="38"/>
    </row>
    <row r="12" spans="1:27" ht="18.75" x14ac:dyDescent="0.3">
      <c r="A12" s="13" t="s">
        <v>31</v>
      </c>
      <c r="B12" s="22">
        <f>'TTM Serv '!B12*(1+'ProForma Serv'!$P$12)*(1+$P$13)</f>
        <v>19579.669999999998</v>
      </c>
      <c r="C12" s="22">
        <f>'TTM Serv '!C12*(1+'ProForma Serv'!$P$12)*(1+$P$13)</f>
        <v>20804.189999999999</v>
      </c>
      <c r="D12" s="22">
        <f>'TTM Serv '!D12*(1+'ProForma Serv'!$P$12)*(1+$P$13)</f>
        <v>20804.189999999999</v>
      </c>
      <c r="E12" s="22">
        <f>'TTM Serv '!E12*(1+'ProForma Serv'!$P$12)*(1+$P$13)</f>
        <v>17131.895</v>
      </c>
      <c r="F12" s="22">
        <f>'TTM Serv '!F12*(1+'ProForma Serv'!$P$12)*(1+$P$13)</f>
        <v>17131.895</v>
      </c>
      <c r="G12" s="22">
        <f>'TTM Serv '!G12*(1+'ProForma Serv'!$P$12)*(1+$P$13)</f>
        <v>17131.895</v>
      </c>
      <c r="H12" s="22">
        <f>'TTM Serv '!H12*(1+'ProForma Serv'!$P$12)*(1+$P$13)</f>
        <v>22027.445</v>
      </c>
      <c r="I12" s="22">
        <f>'TTM Serv '!I12*(1+'ProForma Serv'!$P$12)*(1+$P$13)</f>
        <v>22027.445</v>
      </c>
      <c r="J12" s="22">
        <f>'TTM Serv '!J12*(1+'ProForma Serv'!$P$12)*(1+$P$13)</f>
        <v>22027.445</v>
      </c>
      <c r="K12" s="22">
        <f>'TTM Serv '!K12*(1+'ProForma Serv'!$P$12)*(1+$P$13)</f>
        <v>22027.445</v>
      </c>
      <c r="L12" s="22">
        <f>'TTM Serv '!L12*(1+'ProForma Serv'!$P$12)*(1+$P$13)</f>
        <v>22027.445</v>
      </c>
      <c r="M12" s="22">
        <f>'TTM Serv '!M12*(1+'ProForma Serv'!$P$12)*(1+$P$13)</f>
        <v>22027.445</v>
      </c>
      <c r="N12" s="49">
        <f>SUM(B12:M12)</f>
        <v>244748.40500000006</v>
      </c>
      <c r="O12" s="12"/>
      <c r="P12" s="118">
        <v>0.15</v>
      </c>
      <c r="Q12" s="168" t="s">
        <v>240</v>
      </c>
      <c r="R12" s="38"/>
      <c r="S12" s="19">
        <v>0.85</v>
      </c>
      <c r="T12" s="3">
        <v>5968.64</v>
      </c>
      <c r="U12" s="3">
        <v>3433.48</v>
      </c>
      <c r="V12" s="3">
        <v>110623.57</v>
      </c>
      <c r="W12" s="3">
        <v>3756.79</v>
      </c>
      <c r="X12" s="3">
        <v>1579.41</v>
      </c>
      <c r="Y12" s="2">
        <v>123.55</v>
      </c>
      <c r="Z12" s="3">
        <v>125485.44</v>
      </c>
      <c r="AA12" s="38"/>
    </row>
    <row r="13" spans="1:27" ht="18.75" x14ac:dyDescent="0.3">
      <c r="A13" s="13" t="s">
        <v>32</v>
      </c>
      <c r="B13" s="22">
        <f>'TTM Serv '!B13*(1+'ProForma Serv'!$P$12)*(1+$P$13)</f>
        <v>863.995</v>
      </c>
      <c r="C13" s="22">
        <f>'TTM Serv '!C13*(1+'ProForma Serv'!$P$12)*(1+$P$13)</f>
        <v>6478.0650000000005</v>
      </c>
      <c r="D13" s="22">
        <f>'TTM Serv '!D13*(1+'ProForma Serv'!$P$12)*(1+$P$13)</f>
        <v>863.995</v>
      </c>
      <c r="E13" s="22">
        <f>'TTM Serv '!E13*(1+'ProForma Serv'!$P$12)*(1+$P$13)</f>
        <v>863.995</v>
      </c>
      <c r="F13" s="22">
        <f>'TTM Serv '!F13*(1+'ProForma Serv'!$P$12)*(1+$P$13)</f>
        <v>6478.0650000000005</v>
      </c>
      <c r="G13" s="22">
        <f>'TTM Serv '!G13*(1+'ProForma Serv'!$P$12)*(1+$P$13)</f>
        <v>2591.9850000000001</v>
      </c>
      <c r="H13" s="22">
        <f>'TTM Serv '!H13*(1+'ProForma Serv'!$P$12)*(1+$P$13)</f>
        <v>1727.99</v>
      </c>
      <c r="I13" s="22">
        <f>'TTM Serv '!I13*(1+'ProForma Serv'!$P$12)*(1+$P$13)</f>
        <v>9501.4150000000009</v>
      </c>
      <c r="J13" s="22">
        <f>'TTM Serv '!J13*(1+'ProForma Serv'!$P$12)*(1+$P$13)</f>
        <v>5182.7049999999999</v>
      </c>
      <c r="K13" s="22">
        <f>'TTM Serv '!K13*(1+'ProForma Serv'!$P$12)*(1+$P$13)</f>
        <v>6478.0650000000005</v>
      </c>
      <c r="L13" s="22">
        <f>'TTM Serv '!L13*(1+'ProForma Serv'!$P$12)*(1+$P$13)</f>
        <v>863.995</v>
      </c>
      <c r="M13" s="22">
        <f>'TTM Serv '!M13*(1+'ProForma Serv'!$P$12)*(1+$P$13)</f>
        <v>1295.3599999999999</v>
      </c>
      <c r="N13" s="49">
        <f t="shared" ref="N13:N14" si="2">SUM(B13:M13)</f>
        <v>43189.630000000012</v>
      </c>
      <c r="O13" s="12"/>
      <c r="P13" s="122">
        <v>0.1</v>
      </c>
      <c r="Q13" s="167" t="s">
        <v>241</v>
      </c>
      <c r="R13" s="38"/>
      <c r="S13" s="19">
        <v>0.15</v>
      </c>
      <c r="T13" s="3">
        <v>1053.29</v>
      </c>
      <c r="U13" s="2">
        <v>605.91</v>
      </c>
      <c r="V13" s="3">
        <v>12291.51</v>
      </c>
      <c r="W13" s="2">
        <v>662.96</v>
      </c>
      <c r="X13" s="2">
        <v>278.72000000000003</v>
      </c>
      <c r="Y13" s="2"/>
      <c r="Z13" s="3">
        <v>14892.39</v>
      </c>
      <c r="AA13" s="38"/>
    </row>
    <row r="14" spans="1:27" ht="18.75" x14ac:dyDescent="0.3">
      <c r="A14" s="13" t="s">
        <v>33</v>
      </c>
      <c r="B14" s="46">
        <f>SUM(B12:B13)</f>
        <v>20443.664999999997</v>
      </c>
      <c r="C14" s="46">
        <f t="shared" ref="C14:M14" si="3">SUM(C12:C13)</f>
        <v>27282.254999999997</v>
      </c>
      <c r="D14" s="46">
        <f t="shared" si="3"/>
        <v>21668.184999999998</v>
      </c>
      <c r="E14" s="46">
        <f t="shared" si="3"/>
        <v>17995.89</v>
      </c>
      <c r="F14" s="46">
        <f t="shared" si="3"/>
        <v>23609.96</v>
      </c>
      <c r="G14" s="46">
        <f t="shared" si="3"/>
        <v>19723.88</v>
      </c>
      <c r="H14" s="46">
        <f t="shared" si="3"/>
        <v>23755.435000000001</v>
      </c>
      <c r="I14" s="46">
        <f t="shared" si="3"/>
        <v>31528.86</v>
      </c>
      <c r="J14" s="46">
        <f t="shared" si="3"/>
        <v>27210.15</v>
      </c>
      <c r="K14" s="46">
        <f t="shared" si="3"/>
        <v>28505.510000000002</v>
      </c>
      <c r="L14" s="46">
        <f t="shared" si="3"/>
        <v>22891.439999999999</v>
      </c>
      <c r="M14" s="46">
        <f t="shared" si="3"/>
        <v>23322.805</v>
      </c>
      <c r="N14" s="46">
        <f t="shared" si="2"/>
        <v>287938.03499999997</v>
      </c>
      <c r="O14" s="12"/>
      <c r="P14" s="120"/>
      <c r="Q14" s="120"/>
      <c r="R14" s="38"/>
      <c r="S14" s="13" t="s">
        <v>28</v>
      </c>
      <c r="T14" s="3">
        <v>7021.93</v>
      </c>
      <c r="U14" s="3">
        <v>4039.39</v>
      </c>
      <c r="V14" s="3">
        <v>122915.08</v>
      </c>
      <c r="W14" s="3">
        <v>4419.75</v>
      </c>
      <c r="X14" s="3">
        <v>1858.13</v>
      </c>
      <c r="Y14" s="2">
        <v>123.55</v>
      </c>
      <c r="Z14" s="2"/>
      <c r="AA14" s="38"/>
    </row>
    <row r="15" spans="1:27" ht="18.75" x14ac:dyDescent="0.3">
      <c r="A15" s="13" t="s">
        <v>34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6"/>
      <c r="O15" s="12"/>
      <c r="P15" s="120"/>
      <c r="Q15" s="120"/>
      <c r="R15" s="38"/>
      <c r="S15" s="13" t="s">
        <v>28</v>
      </c>
      <c r="T15" s="2"/>
      <c r="U15" s="2"/>
      <c r="V15" s="2"/>
      <c r="W15" s="2"/>
      <c r="X15" s="2"/>
      <c r="Y15" s="2"/>
      <c r="Z15" s="2"/>
      <c r="AA15" s="38"/>
    </row>
    <row r="16" spans="1:27" ht="18.75" x14ac:dyDescent="0.3">
      <c r="A16" s="13" t="s">
        <v>35</v>
      </c>
      <c r="B16" s="6">
        <f>'TTM Serv '!B16*(1+'ProForma Serv'!$P$9)</f>
        <v>217.35</v>
      </c>
      <c r="C16" s="6">
        <f>'TTM Serv '!C16*(1+'ProForma Serv'!$P$9)</f>
        <v>361.09999999999997</v>
      </c>
      <c r="D16" s="6">
        <f>'TTM Serv '!D16*(1+'ProForma Serv'!$P$9)</f>
        <v>723.34999999999991</v>
      </c>
      <c r="E16" s="6">
        <f>'TTM Serv '!E16*(1+'ProForma Serv'!$P$9)</f>
        <v>794.65</v>
      </c>
      <c r="F16" s="6">
        <f>'TTM Serv '!F16*(1+'ProForma Serv'!$P$9)</f>
        <v>578.44999999999993</v>
      </c>
      <c r="G16" s="6">
        <f>'TTM Serv '!G16*(1+'ProForma Serv'!$P$9)</f>
        <v>288.64999999999998</v>
      </c>
      <c r="H16" s="6">
        <f>'TTM Serv '!H16*(1+'ProForma Serv'!$P$9)</f>
        <v>217.35</v>
      </c>
      <c r="I16" s="6">
        <f>'TTM Serv '!I16*(1+'ProForma Serv'!$P$9)</f>
        <v>723.34999999999991</v>
      </c>
      <c r="J16" s="6">
        <f>'TTM Serv '!J16*(1+'ProForma Serv'!$P$9)</f>
        <v>794.65</v>
      </c>
      <c r="K16" s="6">
        <f>'TTM Serv '!K16*(1+'ProForma Serv'!$P$9)</f>
        <v>1300.6499999999999</v>
      </c>
      <c r="L16" s="6">
        <f>'TTM Serv '!L16*(1+'ProForma Serv'!$P$9)</f>
        <v>939.55</v>
      </c>
      <c r="M16" s="6">
        <f>'TTM Serv '!M16*(1+'ProForma Serv'!$P$9)</f>
        <v>288.64999999999998</v>
      </c>
      <c r="N16" s="49">
        <f>SUM(B16:M16)</f>
        <v>7227.7499999999991</v>
      </c>
      <c r="O16" s="12"/>
      <c r="P16" s="120"/>
      <c r="Q16" s="120"/>
      <c r="R16" s="38"/>
      <c r="S16" s="19">
        <v>0.36</v>
      </c>
      <c r="T16" s="2">
        <v>233.07</v>
      </c>
      <c r="U16" s="3">
        <v>1088.3599999999999</v>
      </c>
      <c r="V16" s="3">
        <v>1536.1</v>
      </c>
      <c r="W16" s="2"/>
      <c r="X16" s="2"/>
      <c r="Y16" s="2"/>
      <c r="Z16" s="3">
        <v>2857.52</v>
      </c>
      <c r="AA16" s="38"/>
    </row>
    <row r="17" spans="1:27" ht="18.75" x14ac:dyDescent="0.3">
      <c r="A17" s="13" t="s">
        <v>36</v>
      </c>
      <c r="B17" s="6">
        <f>'TTM Serv '!B17*(1+'ProForma Serv'!$P$9)</f>
        <v>516.34999999999991</v>
      </c>
      <c r="C17" s="6">
        <f>'TTM Serv '!C17*(1+'ProForma Serv'!$P$9)</f>
        <v>387.54999999999995</v>
      </c>
      <c r="D17" s="6">
        <f>'TTM Serv '!D17*(1+'ProForma Serv'!$P$9)</f>
        <v>645.15</v>
      </c>
      <c r="E17" s="6">
        <f>'TTM Serv '!E17*(1+'ProForma Serv'!$P$9)</f>
        <v>1290.3</v>
      </c>
      <c r="F17" s="6">
        <f>'TTM Serv '!F17*(1+'ProForma Serv'!$P$9)</f>
        <v>1420.25</v>
      </c>
      <c r="G17" s="6">
        <f>'TTM Serv '!G17*(1+'ProForma Serv'!$P$9)</f>
        <v>1032.6999999999998</v>
      </c>
      <c r="H17" s="6">
        <f>'TTM Serv '!H17*(1+'ProForma Serv'!$P$9)</f>
        <v>516.34999999999991</v>
      </c>
      <c r="I17" s="6">
        <f>'TTM Serv '!I17*(1+'ProForma Serv'!$P$9)</f>
        <v>387.54999999999995</v>
      </c>
      <c r="J17" s="6">
        <f>'TTM Serv '!J17*(1+'ProForma Serv'!$P$9)</f>
        <v>1290.3</v>
      </c>
      <c r="K17" s="6">
        <f>'TTM Serv '!K17*(1+'ProForma Serv'!$P$9)</f>
        <v>1420.25</v>
      </c>
      <c r="L17" s="6">
        <f>'TTM Serv '!L17*(1+'ProForma Serv'!$P$9)</f>
        <v>2323</v>
      </c>
      <c r="M17" s="6">
        <f>'TTM Serv '!M17*(1+'ProForma Serv'!$P$9)</f>
        <v>1677.85</v>
      </c>
      <c r="N17" s="49">
        <f>SUM(B17:M17)</f>
        <v>12907.6</v>
      </c>
      <c r="O17" s="12"/>
      <c r="P17" s="120"/>
      <c r="Q17" s="120"/>
      <c r="R17" s="38"/>
      <c r="S17" s="19">
        <v>0.64</v>
      </c>
      <c r="T17" s="2">
        <v>416.2</v>
      </c>
      <c r="U17" s="3">
        <v>1943.55</v>
      </c>
      <c r="V17" s="3">
        <v>2304.14</v>
      </c>
      <c r="W17" s="2"/>
      <c r="X17" s="2"/>
      <c r="Y17" s="2"/>
      <c r="Z17" s="3">
        <v>4663.8999999999996</v>
      </c>
      <c r="AA17" s="38"/>
    </row>
    <row r="18" spans="1:27" ht="18.75" x14ac:dyDescent="0.3">
      <c r="A18" s="13" t="s">
        <v>37</v>
      </c>
      <c r="B18" s="46">
        <f>SUM(B16:B17)</f>
        <v>733.69999999999993</v>
      </c>
      <c r="C18" s="46">
        <f t="shared" ref="C18:N18" si="4">SUM(C16:C17)</f>
        <v>748.64999999999986</v>
      </c>
      <c r="D18" s="46">
        <f t="shared" si="4"/>
        <v>1368.5</v>
      </c>
      <c r="E18" s="46">
        <f t="shared" si="4"/>
        <v>2084.9499999999998</v>
      </c>
      <c r="F18" s="46">
        <f t="shared" si="4"/>
        <v>1998.6999999999998</v>
      </c>
      <c r="G18" s="46">
        <f t="shared" si="4"/>
        <v>1321.35</v>
      </c>
      <c r="H18" s="46">
        <f t="shared" si="4"/>
        <v>733.69999999999993</v>
      </c>
      <c r="I18" s="46">
        <f t="shared" si="4"/>
        <v>1110.8999999999999</v>
      </c>
      <c r="J18" s="46">
        <f t="shared" si="4"/>
        <v>2084.9499999999998</v>
      </c>
      <c r="K18" s="46">
        <f t="shared" si="4"/>
        <v>2720.8999999999996</v>
      </c>
      <c r="L18" s="46">
        <f t="shared" si="4"/>
        <v>3262.55</v>
      </c>
      <c r="M18" s="46">
        <f t="shared" si="4"/>
        <v>1966.5</v>
      </c>
      <c r="N18" s="46">
        <f t="shared" si="4"/>
        <v>20135.349999999999</v>
      </c>
      <c r="O18" s="12"/>
      <c r="P18" s="120"/>
      <c r="Q18" s="120"/>
      <c r="R18" s="38"/>
      <c r="S18" s="2"/>
      <c r="T18" s="2">
        <v>649.27</v>
      </c>
      <c r="U18" s="3">
        <v>3031.91</v>
      </c>
      <c r="V18" s="3">
        <v>3840.24</v>
      </c>
      <c r="W18" s="2"/>
      <c r="X18" s="2"/>
      <c r="Y18" s="2"/>
      <c r="Z18" s="2"/>
      <c r="AA18" s="38"/>
    </row>
    <row r="19" spans="1:27" ht="18.75" hidden="1" x14ac:dyDescent="0.3">
      <c r="A19" s="13" t="s">
        <v>38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13"/>
      <c r="O19" s="12"/>
      <c r="P19" s="120"/>
      <c r="Q19" s="120"/>
      <c r="R19" s="38"/>
      <c r="S19" s="2"/>
      <c r="T19" s="3">
        <v>12666.49</v>
      </c>
      <c r="U19" s="3">
        <v>13073.57</v>
      </c>
      <c r="V19" s="3">
        <v>196091.84</v>
      </c>
      <c r="W19" s="3">
        <v>4419.75</v>
      </c>
      <c r="X19" s="3">
        <v>1858.13</v>
      </c>
      <c r="Y19" s="2">
        <v>123.55</v>
      </c>
      <c r="Z19" s="3">
        <v>228233.33</v>
      </c>
      <c r="AA19" s="38"/>
    </row>
    <row r="20" spans="1:27" ht="18.75" hidden="1" x14ac:dyDescent="0.3">
      <c r="A20" s="13" t="s">
        <v>39</v>
      </c>
      <c r="B20" s="6"/>
      <c r="C20" s="6"/>
      <c r="D20" s="6"/>
      <c r="E20" s="6"/>
      <c r="F20" s="6"/>
      <c r="G20" s="6"/>
      <c r="H20" s="6"/>
      <c r="I20" s="6">
        <v>131</v>
      </c>
      <c r="J20" s="6"/>
      <c r="K20" s="6">
        <v>19</v>
      </c>
      <c r="L20" s="6"/>
      <c r="M20" s="6">
        <v>932</v>
      </c>
      <c r="N20" s="113">
        <f t="shared" ref="N20:N22" si="5">SUM(B20:M20)</f>
        <v>1082</v>
      </c>
      <c r="O20" s="12"/>
      <c r="P20" s="120"/>
      <c r="Q20" s="120"/>
      <c r="R20" s="38"/>
      <c r="S20" s="38"/>
      <c r="T20" s="38"/>
      <c r="U20" s="38"/>
      <c r="V20" s="38"/>
      <c r="W20" s="38"/>
      <c r="X20" s="38"/>
      <c r="Y20" s="38"/>
      <c r="Z20" s="38"/>
      <c r="AA20" s="38"/>
    </row>
    <row r="21" spans="1:27" ht="18.75" hidden="1" x14ac:dyDescent="0.3">
      <c r="A21" s="13" t="s">
        <v>40</v>
      </c>
      <c r="B21" s="6"/>
      <c r="C21" s="6"/>
      <c r="D21" s="6"/>
      <c r="E21" s="6"/>
      <c r="F21" s="6">
        <v>201</v>
      </c>
      <c r="G21" s="6">
        <v>401</v>
      </c>
      <c r="H21" s="6">
        <v>201</v>
      </c>
      <c r="I21" s="6">
        <v>201</v>
      </c>
      <c r="J21" s="6">
        <v>201</v>
      </c>
      <c r="K21" s="6">
        <v>401</v>
      </c>
      <c r="L21" s="6">
        <v>201</v>
      </c>
      <c r="M21" s="6">
        <v>201</v>
      </c>
      <c r="N21" s="113">
        <f t="shared" si="5"/>
        <v>2008</v>
      </c>
      <c r="O21" s="12"/>
      <c r="P21" s="120"/>
      <c r="Q21" s="120"/>
      <c r="R21" s="38"/>
      <c r="S21" s="38"/>
      <c r="T21" s="38"/>
      <c r="U21" s="38"/>
      <c r="V21" s="38"/>
      <c r="W21" s="38"/>
      <c r="X21" s="38"/>
      <c r="Y21" s="38"/>
      <c r="Z21" s="38"/>
      <c r="AA21" s="38"/>
    </row>
    <row r="22" spans="1:27" ht="23.25" x14ac:dyDescent="0.35">
      <c r="A22" s="125" t="s">
        <v>242</v>
      </c>
      <c r="B22" s="46">
        <f>B10+B14+B18+B19+B20+B21</f>
        <v>27498.765499999998</v>
      </c>
      <c r="C22" s="46">
        <f t="shared" ref="C22:M22" si="6">C10+C14+C18+C19+C20+C21</f>
        <v>33166.494500000001</v>
      </c>
      <c r="D22" s="46">
        <f t="shared" si="6"/>
        <v>29488.449499999995</v>
      </c>
      <c r="E22" s="46">
        <f t="shared" si="6"/>
        <v>30879.7425</v>
      </c>
      <c r="F22" s="46">
        <f t="shared" si="6"/>
        <v>38319.589999999997</v>
      </c>
      <c r="G22" s="46">
        <f t="shared" si="6"/>
        <v>31980.644</v>
      </c>
      <c r="H22" s="46">
        <f t="shared" si="6"/>
        <v>30483.812000000002</v>
      </c>
      <c r="I22" s="46">
        <f t="shared" si="6"/>
        <v>37580.879500000003</v>
      </c>
      <c r="J22" s="46">
        <f t="shared" si="6"/>
        <v>40295.002500000002</v>
      </c>
      <c r="K22" s="46">
        <f t="shared" si="6"/>
        <v>43629.87</v>
      </c>
      <c r="L22" s="46">
        <f t="shared" si="6"/>
        <v>46107.642999999996</v>
      </c>
      <c r="M22" s="46">
        <f t="shared" si="6"/>
        <v>40249.663500000002</v>
      </c>
      <c r="N22" s="114">
        <f t="shared" si="5"/>
        <v>429680.55650000001</v>
      </c>
      <c r="O22" s="12"/>
      <c r="P22" s="120"/>
      <c r="Q22" s="120"/>
      <c r="R22" s="38"/>
      <c r="S22" s="38"/>
      <c r="T22" s="38"/>
      <c r="U22" s="38"/>
      <c r="V22" s="38"/>
      <c r="W22" s="38"/>
      <c r="X22" s="38"/>
      <c r="Y22" s="38"/>
      <c r="Z22" s="38"/>
      <c r="AA22" s="38"/>
    </row>
    <row r="23" spans="1:27" ht="18.75" x14ac:dyDescent="0.3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2"/>
      <c r="P23" s="120"/>
      <c r="Q23" s="120"/>
      <c r="R23" s="38"/>
      <c r="S23" s="38"/>
      <c r="T23" s="38"/>
      <c r="U23" s="38"/>
      <c r="V23" s="38"/>
      <c r="W23" s="38"/>
      <c r="X23" s="38"/>
      <c r="Y23" s="38"/>
      <c r="Z23" s="38"/>
      <c r="AA23" s="38"/>
    </row>
    <row r="24" spans="1:27" ht="23.25" x14ac:dyDescent="0.35">
      <c r="A24" s="41" t="s">
        <v>42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12"/>
      <c r="P24" s="120"/>
      <c r="Q24" s="174" t="s">
        <v>259</v>
      </c>
      <c r="R24" s="38"/>
      <c r="S24" s="38"/>
      <c r="U24" s="180" t="s">
        <v>85</v>
      </c>
      <c r="V24" s="181">
        <f>N69</f>
        <v>0.42243907422420224</v>
      </c>
      <c r="W24" s="38"/>
      <c r="X24" s="38"/>
      <c r="Y24" s="38"/>
      <c r="Z24" s="38"/>
      <c r="AA24" s="38"/>
    </row>
    <row r="25" spans="1:27" ht="18.75" x14ac:dyDescent="0.3">
      <c r="A25" s="48" t="s">
        <v>43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12"/>
      <c r="P25" s="120"/>
      <c r="Q25" s="120" t="s">
        <v>260</v>
      </c>
      <c r="R25" s="115"/>
      <c r="S25" s="175">
        <f>N22/12</f>
        <v>35806.71304166667</v>
      </c>
      <c r="T25" s="115"/>
      <c r="U25" s="120" t="s">
        <v>264</v>
      </c>
      <c r="V25" s="176">
        <f>V26/N69</f>
        <v>22838.792436640993</v>
      </c>
      <c r="W25" s="38"/>
      <c r="X25" s="38"/>
      <c r="Y25" s="38"/>
      <c r="Z25" s="38"/>
      <c r="AA25" s="38"/>
    </row>
    <row r="26" spans="1:27" ht="18.75" x14ac:dyDescent="0.3">
      <c r="A26" s="13" t="s">
        <v>44</v>
      </c>
      <c r="B26" s="22">
        <f>'TTM Serv '!B26*(1+'ProForma Serv'!$P$9)</f>
        <v>172.5</v>
      </c>
      <c r="C26" s="22">
        <f>'TTM Serv '!C26*(1+'ProForma Serv'!$P$9)</f>
        <v>206.99999999999997</v>
      </c>
      <c r="D26" s="22">
        <f>'TTM Serv '!D26*(1+'ProForma Serv'!$P$9)</f>
        <v>241.49999999999997</v>
      </c>
      <c r="E26" s="22">
        <f>'TTM Serv '!E26*(1+'ProForma Serv'!$P$9)</f>
        <v>293.25</v>
      </c>
      <c r="F26" s="22">
        <f>'TTM Serv '!F26*(1+'ProForma Serv'!$P$9)</f>
        <v>310.5</v>
      </c>
      <c r="G26" s="22">
        <f>'TTM Serv '!G26*(1+'ProForma Serv'!$P$9)</f>
        <v>276</v>
      </c>
      <c r="H26" s="22">
        <f>'TTM Serv '!H26*(1+'ProForma Serv'!$P$9)</f>
        <v>172.5</v>
      </c>
      <c r="I26" s="22">
        <f>'TTM Serv '!I26*(1+'ProForma Serv'!$P$9)</f>
        <v>206.99999999999997</v>
      </c>
      <c r="J26" s="22">
        <f>'TTM Serv '!J26*(1+'ProForma Serv'!$P$9)</f>
        <v>293.25</v>
      </c>
      <c r="K26" s="22">
        <f>'TTM Serv '!K26*(1+'ProForma Serv'!$P$9)</f>
        <v>448.49999999999994</v>
      </c>
      <c r="L26" s="22">
        <f>'TTM Serv '!L26*(1+'ProForma Serv'!$P$9)</f>
        <v>448.49999999999994</v>
      </c>
      <c r="M26" s="22">
        <f>'TTM Serv '!M26*(1+'ProForma Serv'!$P$9)</f>
        <v>379.49999999999994</v>
      </c>
      <c r="N26" s="170">
        <f>SUM(B26:M26)</f>
        <v>3450</v>
      </c>
      <c r="O26" s="12"/>
      <c r="P26" s="115"/>
      <c r="Q26" s="120" t="s">
        <v>261</v>
      </c>
      <c r="R26" s="115"/>
      <c r="S26" s="176">
        <f>N68/12</f>
        <v>15126.154708333335</v>
      </c>
      <c r="T26" s="115"/>
      <c r="U26" s="120" t="s">
        <v>265</v>
      </c>
      <c r="V26" s="176">
        <f>V27</f>
        <v>9647.998333333333</v>
      </c>
      <c r="W26" s="38"/>
      <c r="X26" s="38"/>
      <c r="Y26" s="38"/>
      <c r="Z26" s="38"/>
      <c r="AA26" s="38"/>
    </row>
    <row r="27" spans="1:27" ht="18.75" x14ac:dyDescent="0.3">
      <c r="A27" s="13" t="s">
        <v>45</v>
      </c>
      <c r="B27" s="22">
        <f>'TTM Serv '!B27*(1+'ProForma Serv'!$P$9)</f>
        <v>1595.05</v>
      </c>
      <c r="C27" s="22">
        <f>'TTM Serv '!C27*(1+'ProForma Serv'!$P$9)</f>
        <v>1913.6</v>
      </c>
      <c r="D27" s="22">
        <f>'TTM Serv '!D27*(1+'ProForma Serv'!$P$9)</f>
        <v>2232.1499999999996</v>
      </c>
      <c r="E27" s="22">
        <f>'TTM Serv '!E27*(1+'ProForma Serv'!$P$9)</f>
        <v>2711.7</v>
      </c>
      <c r="F27" s="22">
        <f>'TTM Serv '!F27*(1+'ProForma Serv'!$P$9)</f>
        <v>2870.3999999999996</v>
      </c>
      <c r="G27" s="22">
        <f>'TTM Serv '!G27*(1+'ProForma Serv'!$P$9)</f>
        <v>2551.85</v>
      </c>
      <c r="H27" s="22">
        <f>'TTM Serv '!H27*(1+'ProForma Serv'!$P$9)</f>
        <v>1595.05</v>
      </c>
      <c r="I27" s="22">
        <f>'TTM Serv '!I27*(1+'ProForma Serv'!$P$9)</f>
        <v>1913.6</v>
      </c>
      <c r="J27" s="22">
        <f>'TTM Serv '!J27*(1+'ProForma Serv'!$P$9)</f>
        <v>2711.7</v>
      </c>
      <c r="K27" s="22">
        <f>'TTM Serv '!K27*(1+'ProForma Serv'!$P$9)</f>
        <v>4146.8999999999996</v>
      </c>
      <c r="L27" s="22">
        <f>'TTM Serv '!L27*(1+'ProForma Serv'!$P$9)</f>
        <v>4146.8999999999996</v>
      </c>
      <c r="M27" s="22">
        <f>'TTM Serv '!M27*(1+'ProForma Serv'!$P$9)</f>
        <v>3508.6499999999996</v>
      </c>
      <c r="N27" s="170">
        <f t="shared" ref="N27:N28" si="7">SUM(B27:M27)</f>
        <v>31897.550000000003</v>
      </c>
      <c r="O27" s="12"/>
      <c r="P27" s="115"/>
      <c r="Q27" s="177" t="s">
        <v>263</v>
      </c>
      <c r="R27" s="115"/>
      <c r="S27" s="178">
        <f>N131/12</f>
        <v>9647.998333333333</v>
      </c>
      <c r="T27" s="115"/>
      <c r="U27" s="120" t="s">
        <v>266</v>
      </c>
      <c r="V27" s="176">
        <f>S27</f>
        <v>9647.998333333333</v>
      </c>
      <c r="W27" s="38"/>
      <c r="X27" s="38"/>
      <c r="Y27" s="38"/>
      <c r="Z27" s="38"/>
      <c r="AA27" s="38"/>
    </row>
    <row r="28" spans="1:27" ht="18.75" x14ac:dyDescent="0.3">
      <c r="A28" s="13" t="s">
        <v>46</v>
      </c>
      <c r="B28" s="22">
        <f>'TTM Serv '!B28*(1+'ProForma Serv'!$P$9)</f>
        <v>143.75</v>
      </c>
      <c r="C28" s="22">
        <f>'TTM Serv '!C28*(1+'ProForma Serv'!$P$9)</f>
        <v>172.5</v>
      </c>
      <c r="D28" s="22">
        <f>'TTM Serv '!D28*(1+'ProForma Serv'!$P$9)</f>
        <v>201.24999999999997</v>
      </c>
      <c r="E28" s="22">
        <f>'TTM Serv '!E28*(1+'ProForma Serv'!$P$9)</f>
        <v>243.79999999999998</v>
      </c>
      <c r="F28" s="22">
        <f>'TTM Serv '!F28*(1+'ProForma Serv'!$P$9)</f>
        <v>258.75</v>
      </c>
      <c r="G28" s="22">
        <f>'TTM Serv '!G28*(1+'ProForma Serv'!$P$9)</f>
        <v>229.99999999999997</v>
      </c>
      <c r="H28" s="22">
        <f>'TTM Serv '!H28*(1+'ProForma Serv'!$P$9)</f>
        <v>143.75</v>
      </c>
      <c r="I28" s="22">
        <f>'TTM Serv '!I28*(1+'ProForma Serv'!$P$9)</f>
        <v>172.5</v>
      </c>
      <c r="J28" s="22">
        <f>'TTM Serv '!J28*(1+'ProForma Serv'!$P$9)</f>
        <v>243.79999999999998</v>
      </c>
      <c r="K28" s="22">
        <f>'TTM Serv '!K28*(1+'ProForma Serv'!$P$9)</f>
        <v>373.74999999999994</v>
      </c>
      <c r="L28" s="22">
        <f>'TTM Serv '!L28*(1+'ProForma Serv'!$P$9)</f>
        <v>373.74999999999994</v>
      </c>
      <c r="M28" s="22">
        <f>'TTM Serv '!M28*(1+'ProForma Serv'!$P$9)</f>
        <v>316.25</v>
      </c>
      <c r="N28" s="170">
        <f t="shared" si="7"/>
        <v>2873.85</v>
      </c>
      <c r="O28" s="12"/>
      <c r="P28" s="115"/>
      <c r="Q28" s="120" t="s">
        <v>262</v>
      </c>
      <c r="R28" s="115"/>
      <c r="S28" s="176">
        <f>N140/12</f>
        <v>5478.1563750000023</v>
      </c>
      <c r="T28" s="175"/>
      <c r="U28" s="120" t="s">
        <v>267</v>
      </c>
      <c r="V28" s="179">
        <v>0</v>
      </c>
      <c r="W28" s="38"/>
      <c r="X28" s="38"/>
      <c r="Y28" s="38"/>
      <c r="Z28" s="38"/>
      <c r="AA28" s="38"/>
    </row>
    <row r="29" spans="1:27" x14ac:dyDescent="0.25">
      <c r="A29" s="13" t="s">
        <v>47</v>
      </c>
      <c r="B29" s="46">
        <f>SUM(B26:B28)</f>
        <v>1911.3</v>
      </c>
      <c r="C29" s="46">
        <f t="shared" ref="C29:N29" si="8">SUM(C26:C28)</f>
        <v>2293.1</v>
      </c>
      <c r="D29" s="46">
        <f t="shared" si="8"/>
        <v>2674.8999999999996</v>
      </c>
      <c r="E29" s="46">
        <f t="shared" si="8"/>
        <v>3248.75</v>
      </c>
      <c r="F29" s="46">
        <f t="shared" si="8"/>
        <v>3439.6499999999996</v>
      </c>
      <c r="G29" s="46">
        <f t="shared" si="8"/>
        <v>3057.85</v>
      </c>
      <c r="H29" s="46">
        <f t="shared" si="8"/>
        <v>1911.3</v>
      </c>
      <c r="I29" s="46">
        <f t="shared" si="8"/>
        <v>2293.1</v>
      </c>
      <c r="J29" s="46">
        <f t="shared" si="8"/>
        <v>3248.75</v>
      </c>
      <c r="K29" s="46">
        <f t="shared" si="8"/>
        <v>4969.1499999999996</v>
      </c>
      <c r="L29" s="46">
        <f t="shared" si="8"/>
        <v>4969.1499999999996</v>
      </c>
      <c r="M29" s="46">
        <f t="shared" si="8"/>
        <v>4204.3999999999996</v>
      </c>
      <c r="N29" s="46">
        <f t="shared" si="8"/>
        <v>38221.4</v>
      </c>
      <c r="O29" s="46"/>
      <c r="P29" s="115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</row>
    <row r="30" spans="1:27" x14ac:dyDescent="0.25">
      <c r="A30" s="13" t="s">
        <v>48</v>
      </c>
      <c r="B30" s="49">
        <f>B7-B29</f>
        <v>722.30350000000021</v>
      </c>
      <c r="C30" s="49">
        <f t="shared" ref="C30:N30" si="9">C7-C29</f>
        <v>-317.58399999999983</v>
      </c>
      <c r="D30" s="49">
        <f t="shared" si="9"/>
        <v>616.79100000000017</v>
      </c>
      <c r="E30" s="49">
        <f t="shared" si="9"/>
        <v>3335.8855000000003</v>
      </c>
      <c r="F30" s="49">
        <f t="shared" si="9"/>
        <v>3803.0730000000003</v>
      </c>
      <c r="G30" s="49">
        <f t="shared" si="9"/>
        <v>2209.3570000000004</v>
      </c>
      <c r="H30" s="49">
        <f t="shared" si="9"/>
        <v>722.30350000000021</v>
      </c>
      <c r="I30" s="49">
        <f t="shared" si="9"/>
        <v>-317.58399999999983</v>
      </c>
      <c r="J30" s="49">
        <f t="shared" si="9"/>
        <v>3335.8855000000003</v>
      </c>
      <c r="K30" s="49">
        <f t="shared" si="9"/>
        <v>2273.5730000000003</v>
      </c>
      <c r="L30" s="49">
        <f t="shared" si="9"/>
        <v>6882.692500000001</v>
      </c>
      <c r="M30" s="49">
        <f t="shared" si="9"/>
        <v>4355.7515000000003</v>
      </c>
      <c r="N30" s="49">
        <f t="shared" si="9"/>
        <v>27622.447999999997</v>
      </c>
      <c r="O30" s="12"/>
      <c r="P30" s="115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</row>
    <row r="31" spans="1:27" x14ac:dyDescent="0.25">
      <c r="A31" s="13" t="s">
        <v>49</v>
      </c>
      <c r="B31" s="19">
        <f>B30/B7</f>
        <v>0.27426433022282976</v>
      </c>
      <c r="C31" s="19">
        <f t="shared" ref="C31:N31" si="10">C30/C7</f>
        <v>-0.1607600242164578</v>
      </c>
      <c r="D31" s="19">
        <f t="shared" si="10"/>
        <v>0.18737815912854525</v>
      </c>
      <c r="E31" s="19">
        <f t="shared" si="10"/>
        <v>0.50661657733370358</v>
      </c>
      <c r="F31" s="19">
        <f t="shared" si="10"/>
        <v>0.52508883744414914</v>
      </c>
      <c r="G31" s="19">
        <f t="shared" si="10"/>
        <v>0.41945513058438755</v>
      </c>
      <c r="H31" s="19">
        <f t="shared" si="10"/>
        <v>0.27426433022282976</v>
      </c>
      <c r="I31" s="19">
        <f t="shared" si="10"/>
        <v>-0.1607600242164578</v>
      </c>
      <c r="J31" s="19">
        <f t="shared" si="10"/>
        <v>0.50661657733370358</v>
      </c>
      <c r="K31" s="19">
        <f t="shared" si="10"/>
        <v>0.31391135626752542</v>
      </c>
      <c r="L31" s="19">
        <f t="shared" si="10"/>
        <v>0.58072763791790183</v>
      </c>
      <c r="M31" s="19">
        <f t="shared" si="10"/>
        <v>0.5088404685361001</v>
      </c>
      <c r="N31" s="19">
        <f t="shared" si="10"/>
        <v>0.41951448524089902</v>
      </c>
      <c r="O31" s="12"/>
      <c r="P31" s="115"/>
      <c r="R31" s="38"/>
      <c r="S31" s="38"/>
      <c r="T31" s="38"/>
      <c r="U31" s="38"/>
      <c r="V31" s="38"/>
      <c r="W31" s="38"/>
      <c r="X31" s="38"/>
      <c r="Y31" s="38"/>
      <c r="Z31" s="38"/>
      <c r="AA31" s="38"/>
    </row>
    <row r="32" spans="1:27" ht="9" customHeight="1" x14ac:dyDescent="0.25">
      <c r="A32" s="13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12"/>
      <c r="P32" s="115"/>
      <c r="R32" s="38"/>
      <c r="S32" s="38"/>
      <c r="T32" s="38"/>
      <c r="U32" s="38"/>
      <c r="V32" s="38"/>
      <c r="W32" s="38"/>
      <c r="X32" s="38"/>
      <c r="Y32" s="38"/>
      <c r="Z32" s="38"/>
      <c r="AA32" s="38"/>
    </row>
    <row r="33" spans="1:27" hidden="1" x14ac:dyDescent="0.25">
      <c r="A33" s="13" t="s">
        <v>50</v>
      </c>
      <c r="B33" s="6">
        <f>'TTM Serv '!B33+('TTM Serv '!B33*'ProForma Serv'!$P$8)</f>
        <v>0</v>
      </c>
      <c r="C33" s="6">
        <f>'TTM Serv '!C33+('TTM Serv '!C33*'ProForma Serv'!$P$8)</f>
        <v>0</v>
      </c>
      <c r="D33" s="6">
        <f>'TTM Serv '!D33+('TTM Serv '!D33*'ProForma Serv'!$P$8)</f>
        <v>0</v>
      </c>
      <c r="E33" s="6">
        <f>'TTM Serv '!E33+('TTM Serv '!E33*'ProForma Serv'!$P$8)</f>
        <v>0</v>
      </c>
      <c r="F33" s="6">
        <f>'TTM Serv '!F33+('TTM Serv '!F33*'ProForma Serv'!$P$8)</f>
        <v>0</v>
      </c>
      <c r="G33" s="6">
        <f>'TTM Serv '!G33+('TTM Serv '!G33*'ProForma Serv'!$P$8)</f>
        <v>0</v>
      </c>
      <c r="H33" s="6">
        <f>'TTM Serv '!H33+('TTM Serv '!H33*'ProForma Serv'!$P$8)</f>
        <v>0</v>
      </c>
      <c r="I33" s="6">
        <f>'TTM Serv '!I33+('TTM Serv '!I33*'ProForma Serv'!$P$8)</f>
        <v>0</v>
      </c>
      <c r="J33" s="6">
        <f>'TTM Serv '!J33+('TTM Serv '!J33*'ProForma Serv'!$P$8)</f>
        <v>0</v>
      </c>
      <c r="K33" s="6">
        <f>'TTM Serv '!K33+('TTM Serv '!K33*'ProForma Serv'!$P$8)</f>
        <v>0</v>
      </c>
      <c r="L33" s="6">
        <f>'TTM Serv '!L33+('TTM Serv '!L33*'ProForma Serv'!$P$8)</f>
        <v>0</v>
      </c>
      <c r="M33" s="6">
        <f>'TTM Serv '!M33+('TTM Serv '!M33*'ProForma Serv'!$P$8)</f>
        <v>0</v>
      </c>
      <c r="N33" s="6">
        <f>SUM(B33:M33)</f>
        <v>0</v>
      </c>
      <c r="O33" s="12"/>
      <c r="P33" s="115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</row>
    <row r="34" spans="1:27" hidden="1" x14ac:dyDescent="0.25">
      <c r="A34" s="13" t="s">
        <v>51</v>
      </c>
      <c r="B34" s="6">
        <f>'TTM Serv '!B34+('TTM Serv '!B34*'ProForma Serv'!$P$8)</f>
        <v>0</v>
      </c>
      <c r="C34" s="6">
        <f>'TTM Serv '!C34+('TTM Serv '!C34*'ProForma Serv'!$P$8)</f>
        <v>0</v>
      </c>
      <c r="D34" s="6">
        <f>'TTM Serv '!D34+('TTM Serv '!D34*'ProForma Serv'!$P$8)</f>
        <v>0</v>
      </c>
      <c r="E34" s="6">
        <f>'TTM Serv '!E34+('TTM Serv '!E34*'ProForma Serv'!$P$8)</f>
        <v>0</v>
      </c>
      <c r="F34" s="6">
        <f>'TTM Serv '!F34+('TTM Serv '!F34*'ProForma Serv'!$P$8)</f>
        <v>0</v>
      </c>
      <c r="G34" s="6">
        <f>'TTM Serv '!G34+('TTM Serv '!G34*'ProForma Serv'!$P$8)</f>
        <v>0</v>
      </c>
      <c r="H34" s="6">
        <f>'TTM Serv '!H34+('TTM Serv '!H34*'ProForma Serv'!$P$8)</f>
        <v>0</v>
      </c>
      <c r="I34" s="6">
        <f>'TTM Serv '!I34+('TTM Serv '!I34*'ProForma Serv'!$P$8)</f>
        <v>0</v>
      </c>
      <c r="J34" s="6">
        <f>'TTM Serv '!J34+('TTM Serv '!J34*'ProForma Serv'!$P$8)</f>
        <v>0</v>
      </c>
      <c r="K34" s="6">
        <f>'TTM Serv '!K34+('TTM Serv '!K34*'ProForma Serv'!$P$8)</f>
        <v>0</v>
      </c>
      <c r="L34" s="6">
        <f>'TTM Serv '!L34+('TTM Serv '!L34*'ProForma Serv'!$P$8)</f>
        <v>0</v>
      </c>
      <c r="M34" s="6">
        <f>'TTM Serv '!M34+('TTM Serv '!M34*'ProForma Serv'!$P$8)</f>
        <v>0</v>
      </c>
      <c r="N34" s="6">
        <f t="shared" ref="N34:N35" si="11">SUM(B34:M34)</f>
        <v>0</v>
      </c>
      <c r="O34" s="12"/>
      <c r="P34" s="115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</row>
    <row r="35" spans="1:27" hidden="1" x14ac:dyDescent="0.25">
      <c r="A35" s="13" t="s">
        <v>52</v>
      </c>
      <c r="B35" s="6">
        <f>'TTM Serv '!B35+('TTM Serv '!B35*'ProForma Serv'!$P$8)</f>
        <v>0</v>
      </c>
      <c r="C35" s="6">
        <f>'TTM Serv '!C35+('TTM Serv '!C35*'ProForma Serv'!$P$8)</f>
        <v>0</v>
      </c>
      <c r="D35" s="6">
        <f>'TTM Serv '!D35+('TTM Serv '!D35*'ProForma Serv'!$P$8)</f>
        <v>0</v>
      </c>
      <c r="E35" s="6">
        <f>'TTM Serv '!E35+('TTM Serv '!E35*'ProForma Serv'!$P$8)</f>
        <v>0</v>
      </c>
      <c r="F35" s="6">
        <f>'TTM Serv '!F35+('TTM Serv '!F35*'ProForma Serv'!$P$8)</f>
        <v>0</v>
      </c>
      <c r="G35" s="6">
        <f>'TTM Serv '!G35+('TTM Serv '!G35*'ProForma Serv'!$P$8)</f>
        <v>0</v>
      </c>
      <c r="H35" s="6">
        <f>'TTM Serv '!H35+('TTM Serv '!H35*'ProForma Serv'!$P$8)</f>
        <v>0</v>
      </c>
      <c r="I35" s="6">
        <f>'TTM Serv '!I35+('TTM Serv '!I35*'ProForma Serv'!$P$8)</f>
        <v>0</v>
      </c>
      <c r="J35" s="6">
        <f>'TTM Serv '!J35+('TTM Serv '!J35*'ProForma Serv'!$P$8)</f>
        <v>0</v>
      </c>
      <c r="K35" s="6">
        <f>'TTM Serv '!K35+('TTM Serv '!K35*'ProForma Serv'!$P$8)</f>
        <v>0</v>
      </c>
      <c r="L35" s="6">
        <f>'TTM Serv '!L35+('TTM Serv '!L35*'ProForma Serv'!$P$8)</f>
        <v>0</v>
      </c>
      <c r="M35" s="6">
        <f>'TTM Serv '!M35+('TTM Serv '!M35*'ProForma Serv'!$P$8)</f>
        <v>0</v>
      </c>
      <c r="N35" s="6">
        <f t="shared" si="11"/>
        <v>0</v>
      </c>
      <c r="O35" s="12"/>
      <c r="P35" s="115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</row>
    <row r="36" spans="1:27" ht="3" customHeight="1" x14ac:dyDescent="0.25">
      <c r="A36" s="13" t="s">
        <v>53</v>
      </c>
      <c r="B36" s="46">
        <f>SUM(B33:B35)</f>
        <v>0</v>
      </c>
      <c r="C36" s="46">
        <f t="shared" ref="C36:N36" si="12">SUM(C33:C35)</f>
        <v>0</v>
      </c>
      <c r="D36" s="46">
        <f t="shared" si="12"/>
        <v>0</v>
      </c>
      <c r="E36" s="46">
        <f t="shared" si="12"/>
        <v>0</v>
      </c>
      <c r="F36" s="46">
        <f t="shared" si="12"/>
        <v>0</v>
      </c>
      <c r="G36" s="46">
        <f t="shared" si="12"/>
        <v>0</v>
      </c>
      <c r="H36" s="46">
        <f t="shared" si="12"/>
        <v>0</v>
      </c>
      <c r="I36" s="46">
        <f t="shared" si="12"/>
        <v>0</v>
      </c>
      <c r="J36" s="46">
        <f t="shared" si="12"/>
        <v>0</v>
      </c>
      <c r="K36" s="46">
        <f t="shared" si="12"/>
        <v>0</v>
      </c>
      <c r="L36" s="46">
        <f t="shared" si="12"/>
        <v>0</v>
      </c>
      <c r="M36" s="46">
        <f t="shared" si="12"/>
        <v>0</v>
      </c>
      <c r="N36" s="46">
        <f t="shared" si="12"/>
        <v>0</v>
      </c>
      <c r="O36" s="12"/>
      <c r="P36" s="115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</row>
    <row r="37" spans="1:27" x14ac:dyDescent="0.25">
      <c r="A37" s="13" t="s">
        <v>54</v>
      </c>
      <c r="B37" s="49">
        <f>B8-B36</f>
        <v>0</v>
      </c>
      <c r="C37" s="49">
        <f t="shared" ref="C37:N37" si="13">C8-C36</f>
        <v>0</v>
      </c>
      <c r="D37" s="49">
        <f t="shared" si="13"/>
        <v>0</v>
      </c>
      <c r="E37" s="49">
        <f t="shared" si="13"/>
        <v>0</v>
      </c>
      <c r="F37" s="49">
        <f t="shared" si="13"/>
        <v>0</v>
      </c>
      <c r="G37" s="49">
        <f t="shared" si="13"/>
        <v>0</v>
      </c>
      <c r="H37" s="49">
        <f t="shared" si="13"/>
        <v>0</v>
      </c>
      <c r="I37" s="49">
        <f t="shared" si="13"/>
        <v>0</v>
      </c>
      <c r="J37" s="49">
        <f t="shared" si="13"/>
        <v>0</v>
      </c>
      <c r="K37" s="49">
        <f t="shared" si="13"/>
        <v>0</v>
      </c>
      <c r="L37" s="49">
        <f t="shared" si="13"/>
        <v>0</v>
      </c>
      <c r="M37" s="49">
        <f t="shared" si="13"/>
        <v>0</v>
      </c>
      <c r="N37" s="49">
        <f t="shared" si="13"/>
        <v>0</v>
      </c>
      <c r="O37" s="12"/>
      <c r="P37" s="115"/>
      <c r="R37" s="38"/>
      <c r="S37" s="38"/>
      <c r="T37" s="38"/>
      <c r="U37" s="38"/>
      <c r="V37" s="38"/>
      <c r="W37" s="38"/>
      <c r="X37" s="38"/>
      <c r="Y37" s="38"/>
      <c r="Z37" s="38"/>
      <c r="AA37" s="38"/>
    </row>
    <row r="38" spans="1:27" hidden="1" x14ac:dyDescent="0.25">
      <c r="A38" s="13" t="s">
        <v>55</v>
      </c>
      <c r="B38" s="19" t="e">
        <f>B37/B8</f>
        <v>#DIV/0!</v>
      </c>
      <c r="C38" s="19" t="e">
        <f t="shared" ref="C38:N38" si="14">C37/C8</f>
        <v>#DIV/0!</v>
      </c>
      <c r="D38" s="19" t="e">
        <f t="shared" si="14"/>
        <v>#DIV/0!</v>
      </c>
      <c r="E38" s="19" t="e">
        <f t="shared" si="14"/>
        <v>#DIV/0!</v>
      </c>
      <c r="F38" s="19" t="e">
        <f t="shared" si="14"/>
        <v>#DIV/0!</v>
      </c>
      <c r="G38" s="19" t="e">
        <f t="shared" si="14"/>
        <v>#DIV/0!</v>
      </c>
      <c r="H38" s="19" t="e">
        <f t="shared" si="14"/>
        <v>#DIV/0!</v>
      </c>
      <c r="I38" s="19" t="e">
        <f t="shared" si="14"/>
        <v>#DIV/0!</v>
      </c>
      <c r="J38" s="19" t="e">
        <f t="shared" si="14"/>
        <v>#DIV/0!</v>
      </c>
      <c r="K38" s="19" t="e">
        <f t="shared" si="14"/>
        <v>#DIV/0!</v>
      </c>
      <c r="L38" s="19" t="e">
        <f t="shared" si="14"/>
        <v>#DIV/0!</v>
      </c>
      <c r="M38" s="19" t="e">
        <f t="shared" si="14"/>
        <v>#DIV/0!</v>
      </c>
      <c r="N38" s="19" t="e">
        <f t="shared" si="14"/>
        <v>#DIV/0!</v>
      </c>
      <c r="O38" s="12"/>
      <c r="P38" s="115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</row>
    <row r="39" spans="1:27" ht="20.100000000000001" customHeight="1" x14ac:dyDescent="0.25">
      <c r="A39" s="13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12"/>
      <c r="P39" s="115"/>
      <c r="R39" s="38"/>
      <c r="S39" s="38"/>
      <c r="T39" s="38"/>
      <c r="U39" s="38"/>
      <c r="V39" s="38"/>
      <c r="W39" s="38"/>
      <c r="X39" s="38"/>
      <c r="Y39" s="38"/>
      <c r="Z39" s="38"/>
      <c r="AA39" s="38"/>
    </row>
    <row r="40" spans="1:27" x14ac:dyDescent="0.25">
      <c r="A40" s="13" t="s">
        <v>56</v>
      </c>
      <c r="B40" s="22">
        <f>'TTM Serv '!B40*(1+'ProForma Serv'!$P$9)</f>
        <v>138</v>
      </c>
      <c r="C40" s="22">
        <f>'TTM Serv '!C40*(1+'ProForma Serv'!$P$9)</f>
        <v>165.6</v>
      </c>
      <c r="D40" s="22">
        <f>'TTM Serv '!D40*(1+'ProForma Serv'!$P$9)</f>
        <v>193.2</v>
      </c>
      <c r="E40" s="22">
        <f>'TTM Serv '!E40*(1+'ProForma Serv'!$P$9)</f>
        <v>234.6</v>
      </c>
      <c r="F40" s="22">
        <f>'TTM Serv '!F40*(1+'ProForma Serv'!$P$9)</f>
        <v>248.39999999999998</v>
      </c>
      <c r="G40" s="22">
        <f>'TTM Serv '!G40*(1+'ProForma Serv'!$P$9)</f>
        <v>220.79999999999998</v>
      </c>
      <c r="H40" s="22">
        <f>'TTM Serv '!H40*(1+'ProForma Serv'!$P$9)</f>
        <v>138</v>
      </c>
      <c r="I40" s="22">
        <f>'TTM Serv '!I40*(1+'ProForma Serv'!$P$9)</f>
        <v>165.6</v>
      </c>
      <c r="J40" s="22">
        <f>'TTM Serv '!J40*(1+'ProForma Serv'!$P$9)</f>
        <v>234.6</v>
      </c>
      <c r="K40" s="22">
        <f>'TTM Serv '!K40*(1+'ProForma Serv'!$P$9)</f>
        <v>358.79999999999995</v>
      </c>
      <c r="L40" s="22">
        <f>'TTM Serv '!L40*(1+'ProForma Serv'!$P$9)</f>
        <v>358.79999999999995</v>
      </c>
      <c r="M40" s="22">
        <f>'TTM Serv '!M40*(1+'ProForma Serv'!$P$9)</f>
        <v>303.59999999999997</v>
      </c>
      <c r="N40" s="171">
        <f>SUM(B40:M40)</f>
        <v>2759.9999999999995</v>
      </c>
      <c r="O40" s="12"/>
      <c r="P40" s="115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</row>
    <row r="41" spans="1:27" x14ac:dyDescent="0.25">
      <c r="A41" s="13" t="s">
        <v>57</v>
      </c>
      <c r="B41" s="22">
        <f>'TTM Serv '!B41*(1+'ProForma Serv'!$P$9)</f>
        <v>2152.7999999999997</v>
      </c>
      <c r="C41" s="22">
        <f>'TTM Serv '!C41*(1+'ProForma Serv'!$P$9)</f>
        <v>2397.75</v>
      </c>
      <c r="D41" s="22">
        <f>'TTM Serv '!D41*(1+'ProForma Serv'!$P$9)</f>
        <v>1973.3999999999999</v>
      </c>
      <c r="E41" s="22">
        <f>'TTM Serv '!E41*(1+'ProForma Serv'!$P$9)</f>
        <v>2741.6</v>
      </c>
      <c r="F41" s="22">
        <f>'TTM Serv '!F41*(1+'ProForma Serv'!$P$9)</f>
        <v>3946.7999999999997</v>
      </c>
      <c r="G41" s="22">
        <f>'TTM Serv '!G41*(1+'ProForma Serv'!$P$9)</f>
        <v>3229.2</v>
      </c>
      <c r="H41" s="22">
        <f>'TTM Serv '!H41*(1+'ProForma Serv'!$P$9)</f>
        <v>2500.1</v>
      </c>
      <c r="I41" s="22">
        <f>'TTM Serv '!I41*(1+'ProForma Serv'!$P$9)</f>
        <v>2005.6</v>
      </c>
      <c r="J41" s="22">
        <f>'TTM Serv '!J41*(1+'ProForma Serv'!$P$9)</f>
        <v>2691</v>
      </c>
      <c r="K41" s="22">
        <f>'TTM Serv '!K41*(1+'ProForma Serv'!$P$9)</f>
        <v>3587.9999999999995</v>
      </c>
      <c r="L41" s="22">
        <f>'TTM Serv '!L41*(1+'ProForma Serv'!$P$9)</f>
        <v>5023.2</v>
      </c>
      <c r="M41" s="22">
        <f>'TTM Serv '!M41*(1+'ProForma Serv'!$P$9)</f>
        <v>3631.7</v>
      </c>
      <c r="N41" s="171">
        <f t="shared" ref="N41:N43" si="15">SUM(B41:M41)</f>
        <v>35881.149999999994</v>
      </c>
      <c r="O41" s="12"/>
      <c r="P41" s="115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</row>
    <row r="42" spans="1:27" ht="18" customHeight="1" x14ac:dyDescent="0.25">
      <c r="A42" s="13" t="s">
        <v>58</v>
      </c>
      <c r="B42" s="22">
        <f>'TTM Serv '!B42*(1+'ProForma Serv'!$P$9)</f>
        <v>114.99999999999999</v>
      </c>
      <c r="C42" s="22">
        <f>'TTM Serv '!C42*(1+'ProForma Serv'!$P$9)</f>
        <v>138</v>
      </c>
      <c r="D42" s="22">
        <f>'TTM Serv '!D42*(1+'ProForma Serv'!$P$9)</f>
        <v>161</v>
      </c>
      <c r="E42" s="22">
        <f>'TTM Serv '!E42*(1+'ProForma Serv'!$P$9)</f>
        <v>195.49999999999997</v>
      </c>
      <c r="F42" s="22">
        <f>'TTM Serv '!F42*(1+'ProForma Serv'!$P$9)</f>
        <v>206.99999999999997</v>
      </c>
      <c r="G42" s="22">
        <f>'TTM Serv '!G42*(1+'ProForma Serv'!$P$9)</f>
        <v>184</v>
      </c>
      <c r="H42" s="22">
        <f>'TTM Serv '!H42*(1+'ProForma Serv'!$P$9)</f>
        <v>114.99999999999999</v>
      </c>
      <c r="I42" s="22">
        <f>'TTM Serv '!I42*(1+'ProForma Serv'!$P$9)</f>
        <v>138</v>
      </c>
      <c r="J42" s="22">
        <f>'TTM Serv '!J42*(1+'ProForma Serv'!$P$9)</f>
        <v>195.49999999999997</v>
      </c>
      <c r="K42" s="22">
        <f>'TTM Serv '!K42*(1+'ProForma Serv'!$P$9)</f>
        <v>299</v>
      </c>
      <c r="L42" s="22">
        <f>'TTM Serv '!L42*(1+'ProForma Serv'!$P$9)</f>
        <v>299</v>
      </c>
      <c r="M42" s="22">
        <f>'TTM Serv '!M42*(1+'ProForma Serv'!$P$9)</f>
        <v>252.99999999999997</v>
      </c>
      <c r="N42" s="171">
        <f t="shared" si="15"/>
        <v>2300</v>
      </c>
      <c r="O42" s="12"/>
      <c r="P42" s="115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</row>
    <row r="43" spans="1:27" x14ac:dyDescent="0.25">
      <c r="A43" s="13" t="s">
        <v>59</v>
      </c>
      <c r="B43" s="46">
        <f>SUM(B40:B42)</f>
        <v>2405.7999999999997</v>
      </c>
      <c r="C43" s="46">
        <f t="shared" ref="C43:M43" si="16">SUM(C40:C42)</f>
        <v>2701.35</v>
      </c>
      <c r="D43" s="46">
        <f t="shared" si="16"/>
        <v>2327.6</v>
      </c>
      <c r="E43" s="46">
        <f t="shared" si="16"/>
        <v>3171.7</v>
      </c>
      <c r="F43" s="46">
        <f t="shared" si="16"/>
        <v>4402.2</v>
      </c>
      <c r="G43" s="46">
        <f t="shared" si="16"/>
        <v>3634</v>
      </c>
      <c r="H43" s="46">
        <f t="shared" si="16"/>
        <v>2753.1</v>
      </c>
      <c r="I43" s="46">
        <f t="shared" si="16"/>
        <v>2309.1999999999998</v>
      </c>
      <c r="J43" s="46">
        <f t="shared" si="16"/>
        <v>3121.1</v>
      </c>
      <c r="K43" s="46">
        <f t="shared" si="16"/>
        <v>4245.7999999999993</v>
      </c>
      <c r="L43" s="46">
        <f t="shared" si="16"/>
        <v>5681</v>
      </c>
      <c r="M43" s="46">
        <f t="shared" si="16"/>
        <v>4188.2999999999993</v>
      </c>
      <c r="N43" s="172">
        <f t="shared" si="15"/>
        <v>40941.149999999994</v>
      </c>
      <c r="O43" s="12"/>
      <c r="P43" s="115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</row>
    <row r="44" spans="1:27" x14ac:dyDescent="0.25">
      <c r="A44" s="13" t="s">
        <v>60</v>
      </c>
      <c r="B44" s="49">
        <f>B9-B43</f>
        <v>1281.9970000000003</v>
      </c>
      <c r="C44" s="49">
        <f t="shared" ref="C44:N44" si="17">C9-C43</f>
        <v>458.72350000000006</v>
      </c>
      <c r="D44" s="49">
        <f t="shared" si="17"/>
        <v>832.47350000000006</v>
      </c>
      <c r="E44" s="49">
        <f t="shared" si="17"/>
        <v>1042.567</v>
      </c>
      <c r="F44" s="49">
        <f t="shared" si="17"/>
        <v>865.00700000000052</v>
      </c>
      <c r="G44" s="49">
        <f t="shared" si="17"/>
        <v>1633.2070000000003</v>
      </c>
      <c r="H44" s="49">
        <f t="shared" si="17"/>
        <v>406.97350000000006</v>
      </c>
      <c r="I44" s="49">
        <f t="shared" si="17"/>
        <v>324.40350000000035</v>
      </c>
      <c r="J44" s="49">
        <f t="shared" si="17"/>
        <v>1093.1669999999999</v>
      </c>
      <c r="K44" s="49">
        <f t="shared" si="17"/>
        <v>494.93700000000081</v>
      </c>
      <c r="L44" s="49">
        <f t="shared" si="17"/>
        <v>2219.8104999999996</v>
      </c>
      <c r="M44" s="49">
        <f t="shared" si="17"/>
        <v>1078.9070000000011</v>
      </c>
      <c r="N44" s="49">
        <f t="shared" si="17"/>
        <v>11732.173500000012</v>
      </c>
      <c r="O44" s="12"/>
      <c r="P44" s="115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</row>
    <row r="45" spans="1:27" x14ac:dyDescent="0.25">
      <c r="A45" s="13" t="s">
        <v>61</v>
      </c>
      <c r="B45" s="19">
        <f>B44/B9</f>
        <v>0.34763220426720892</v>
      </c>
      <c r="C45" s="19">
        <f t="shared" ref="C45:N45" si="18">C44/C9</f>
        <v>0.14516228815563945</v>
      </c>
      <c r="D45" s="19">
        <f t="shared" si="18"/>
        <v>0.26343485365134706</v>
      </c>
      <c r="E45" s="19">
        <f t="shared" si="18"/>
        <v>0.2473898782397983</v>
      </c>
      <c r="F45" s="19">
        <f t="shared" si="18"/>
        <v>0.16422498679091224</v>
      </c>
      <c r="G45" s="19">
        <f t="shared" si="18"/>
        <v>0.31007078324432669</v>
      </c>
      <c r="H45" s="19">
        <f t="shared" si="18"/>
        <v>0.12878608677931069</v>
      </c>
      <c r="I45" s="19">
        <f t="shared" si="18"/>
        <v>0.12317856503456208</v>
      </c>
      <c r="J45" s="19">
        <f t="shared" si="18"/>
        <v>0.25939671121929386</v>
      </c>
      <c r="K45" s="19">
        <f t="shared" si="18"/>
        <v>0.10440085581630046</v>
      </c>
      <c r="L45" s="19">
        <f t="shared" si="18"/>
        <v>0.28095984582847539</v>
      </c>
      <c r="M45" s="19">
        <f t="shared" si="18"/>
        <v>0.20483474448602476</v>
      </c>
      <c r="N45" s="19">
        <f t="shared" si="18"/>
        <v>0.2227346353035804</v>
      </c>
      <c r="O45" s="12"/>
      <c r="P45" s="115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</row>
    <row r="46" spans="1:27" x14ac:dyDescent="0.25">
      <c r="A46" s="13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12"/>
      <c r="P46" s="115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</row>
    <row r="47" spans="1:27" ht="18" x14ac:dyDescent="0.25">
      <c r="A47" s="48" t="s">
        <v>63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12"/>
      <c r="P47" s="115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</row>
    <row r="48" spans="1:27" x14ac:dyDescent="0.25">
      <c r="A48" s="13" t="s">
        <v>64</v>
      </c>
      <c r="B48" s="22">
        <f>'TTM Serv '!B48*(1+'ProForma Serv'!$P$12)</f>
        <v>325.45</v>
      </c>
      <c r="C48" s="22">
        <f>'TTM Serv '!C48*(1+'ProForma Serv'!$P$12)</f>
        <v>464.59999999999997</v>
      </c>
      <c r="D48" s="22">
        <f>'TTM Serv '!D48*(1+'ProForma Serv'!$P$12)</f>
        <v>325.45</v>
      </c>
      <c r="E48" s="22">
        <f>'TTM Serv '!E48*(1+'ProForma Serv'!$P$12)</f>
        <v>278.29999999999995</v>
      </c>
      <c r="F48" s="22">
        <f>'TTM Serv '!F48*(1+'ProForma Serv'!$P$12)</f>
        <v>371.45</v>
      </c>
      <c r="G48" s="22">
        <f>'TTM Serv '!G48*(1+'ProForma Serv'!$P$12)</f>
        <v>325.45</v>
      </c>
      <c r="H48" s="22">
        <f>'TTM Serv '!H48*(1+'ProForma Serv'!$P$12)</f>
        <v>371.45</v>
      </c>
      <c r="I48" s="22">
        <f>'TTM Serv '!I48*(1+'ProForma Serv'!$P$12)</f>
        <v>464.59999999999997</v>
      </c>
      <c r="J48" s="22">
        <f>'TTM Serv '!J48*(1+'ProForma Serv'!$P$12)</f>
        <v>418.59999999999997</v>
      </c>
      <c r="K48" s="22">
        <f>'TTM Serv '!K48*(1+'ProForma Serv'!$P$12)</f>
        <v>464.59999999999997</v>
      </c>
      <c r="L48" s="22">
        <f>'TTM Serv '!L48*(1+'ProForma Serv'!$P$12)</f>
        <v>418.59999999999997</v>
      </c>
      <c r="M48" s="22">
        <f>'TTM Serv '!M48*(1+'ProForma Serv'!$P$12)</f>
        <v>418.59999999999997</v>
      </c>
      <c r="N48" s="123">
        <f>SUM(B48:M48)</f>
        <v>4647.1499999999996</v>
      </c>
      <c r="O48" s="12"/>
      <c r="P48" s="115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</row>
    <row r="49" spans="1:27" x14ac:dyDescent="0.25">
      <c r="A49" s="13" t="s">
        <v>65</v>
      </c>
      <c r="B49" s="22">
        <f>'TTM Serv '!B49*(1+'ProForma Serv'!$P$12)</f>
        <v>11096.349999999999</v>
      </c>
      <c r="C49" s="22">
        <f>'TTM Serv '!C49*(1+'ProForma Serv'!$P$12)</f>
        <v>11661</v>
      </c>
      <c r="D49" s="22">
        <f>'TTM Serv '!D49*(1+'ProForma Serv'!$P$12)</f>
        <v>10205.099999999999</v>
      </c>
      <c r="E49" s="22">
        <f>'TTM Serv '!E49*(1+'ProForma Serv'!$P$12)</f>
        <v>8933.1999999999989</v>
      </c>
      <c r="F49" s="22">
        <f>'TTM Serv '!F49*(1+'ProForma Serv'!$P$12)</f>
        <v>10821.5</v>
      </c>
      <c r="G49" s="22">
        <f>'TTM Serv '!G49*(1+'ProForma Serv'!$P$12)</f>
        <v>9753.15</v>
      </c>
      <c r="H49" s="22">
        <f>'TTM Serv '!H49*(1+'ProForma Serv'!$P$12)</f>
        <v>11761.05</v>
      </c>
      <c r="I49" s="22">
        <f>'TTM Serv '!I49*(1+'ProForma Serv'!$P$12)</f>
        <v>15576.749999999998</v>
      </c>
      <c r="J49" s="22">
        <f>'TTM Serv '!J49*(1+'ProForma Serv'!$P$12)</f>
        <v>12637.349999999999</v>
      </c>
      <c r="K49" s="22">
        <f>'TTM Serv '!K49*(1+'ProForma Serv'!$P$12)</f>
        <v>13315.849999999999</v>
      </c>
      <c r="L49" s="22">
        <f>'TTM Serv '!L49*(1+'ProForma Serv'!$P$12)</f>
        <v>14276.099999999999</v>
      </c>
      <c r="M49" s="22">
        <f>'TTM Serv '!M49*(1+'ProForma Serv'!$P$12)</f>
        <v>11313.699999999999</v>
      </c>
      <c r="N49" s="123">
        <f t="shared" ref="N49:N51" si="19">SUM(B49:M49)</f>
        <v>141351.1</v>
      </c>
      <c r="O49" s="12"/>
      <c r="P49" s="115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</row>
    <row r="50" spans="1:27" x14ac:dyDescent="0.25">
      <c r="A50" s="13" t="s">
        <v>66</v>
      </c>
      <c r="B50" s="22">
        <f>'TTM Serv '!B50*(1+'ProForma Serv'!$P$12)</f>
        <v>565.79999999999995</v>
      </c>
      <c r="C50" s="22">
        <f>'TTM Serv '!C50*(1+'ProForma Serv'!$P$12)</f>
        <v>807.3</v>
      </c>
      <c r="D50" s="22">
        <f>'TTM Serv '!D50*(1+'ProForma Serv'!$P$12)</f>
        <v>565.79999999999995</v>
      </c>
      <c r="E50" s="22">
        <f>'TTM Serv '!E50*(1+'ProForma Serv'!$P$12)</f>
        <v>484.15</v>
      </c>
      <c r="F50" s="22">
        <f>'TTM Serv '!F50*(1+'ProForma Serv'!$P$12)</f>
        <v>646.29999999999995</v>
      </c>
      <c r="G50" s="22">
        <f>'TTM Serv '!G50*(1+'ProForma Serv'!$P$12)</f>
        <v>565.79999999999995</v>
      </c>
      <c r="H50" s="22">
        <f>'TTM Serv '!H50*(1+'ProForma Serv'!$P$12)</f>
        <v>646.29999999999995</v>
      </c>
      <c r="I50" s="22">
        <f>'TTM Serv '!I50*(1+'ProForma Serv'!$P$12)</f>
        <v>807.3</v>
      </c>
      <c r="J50" s="22">
        <f>'TTM Serv '!J50*(1+'ProForma Serv'!$P$12)</f>
        <v>726.8</v>
      </c>
      <c r="K50" s="22">
        <f>'TTM Serv '!K50*(1+'ProForma Serv'!$P$12)</f>
        <v>807.3</v>
      </c>
      <c r="L50" s="22">
        <f>'TTM Serv '!L50*(1+'ProForma Serv'!$P$12)</f>
        <v>726.8</v>
      </c>
      <c r="M50" s="22">
        <f>'TTM Serv '!M50*(1+'ProForma Serv'!$P$12)</f>
        <v>726.8</v>
      </c>
      <c r="N50" s="123">
        <f t="shared" si="19"/>
        <v>8076.4500000000007</v>
      </c>
      <c r="O50" s="12"/>
      <c r="P50" s="115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</row>
    <row r="51" spans="1:27" x14ac:dyDescent="0.25">
      <c r="A51" s="13" t="s">
        <v>67</v>
      </c>
      <c r="B51" s="46">
        <f>SUM(B48:B50)</f>
        <v>11987.599999999999</v>
      </c>
      <c r="C51" s="46">
        <f t="shared" ref="C51:M51" si="20">SUM(C48:C50)</f>
        <v>12932.9</v>
      </c>
      <c r="D51" s="46">
        <f t="shared" si="20"/>
        <v>11096.349999999999</v>
      </c>
      <c r="E51" s="46">
        <f t="shared" si="20"/>
        <v>9695.6499999999978</v>
      </c>
      <c r="F51" s="46">
        <f t="shared" si="20"/>
        <v>11839.25</v>
      </c>
      <c r="G51" s="46">
        <f t="shared" si="20"/>
        <v>10644.4</v>
      </c>
      <c r="H51" s="46">
        <f t="shared" si="20"/>
        <v>12778.8</v>
      </c>
      <c r="I51" s="46">
        <f t="shared" si="20"/>
        <v>16848.649999999998</v>
      </c>
      <c r="J51" s="46">
        <f t="shared" si="20"/>
        <v>13782.749999999998</v>
      </c>
      <c r="K51" s="46">
        <f t="shared" si="20"/>
        <v>14587.749999999998</v>
      </c>
      <c r="L51" s="46">
        <f t="shared" si="20"/>
        <v>15421.499999999998</v>
      </c>
      <c r="M51" s="46">
        <f t="shared" si="20"/>
        <v>12459.099999999999</v>
      </c>
      <c r="N51" s="172">
        <f t="shared" si="19"/>
        <v>154074.69999999998</v>
      </c>
      <c r="O51" s="12"/>
      <c r="P51" s="115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</row>
    <row r="52" spans="1:27" x14ac:dyDescent="0.25">
      <c r="A52" s="13" t="s">
        <v>68</v>
      </c>
      <c r="B52" s="49">
        <f>B14-B51</f>
        <v>8456.0649999999987</v>
      </c>
      <c r="C52" s="49">
        <f t="shared" ref="C52:N52" si="21">C14-C51</f>
        <v>14349.354999999998</v>
      </c>
      <c r="D52" s="49">
        <f t="shared" si="21"/>
        <v>10571.834999999999</v>
      </c>
      <c r="E52" s="49">
        <f t="shared" si="21"/>
        <v>8300.2400000000016</v>
      </c>
      <c r="F52" s="49">
        <f t="shared" si="21"/>
        <v>11770.71</v>
      </c>
      <c r="G52" s="49">
        <f t="shared" si="21"/>
        <v>9079.4800000000014</v>
      </c>
      <c r="H52" s="49">
        <f t="shared" si="21"/>
        <v>10976.635000000002</v>
      </c>
      <c r="I52" s="49">
        <f t="shared" si="21"/>
        <v>14680.210000000003</v>
      </c>
      <c r="J52" s="49">
        <f t="shared" si="21"/>
        <v>13427.400000000003</v>
      </c>
      <c r="K52" s="49">
        <f t="shared" si="21"/>
        <v>13917.760000000004</v>
      </c>
      <c r="L52" s="49">
        <f t="shared" si="21"/>
        <v>7469.9400000000005</v>
      </c>
      <c r="M52" s="49">
        <f t="shared" si="21"/>
        <v>10863.705000000002</v>
      </c>
      <c r="N52" s="49">
        <f t="shared" si="21"/>
        <v>133863.33499999999</v>
      </c>
      <c r="O52" s="12"/>
      <c r="P52" s="115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</row>
    <row r="53" spans="1:27" x14ac:dyDescent="0.25">
      <c r="A53" s="13" t="s">
        <v>69</v>
      </c>
      <c r="B53" s="19">
        <f>B52/B14</f>
        <v>0.41362764455394863</v>
      </c>
      <c r="C53" s="19">
        <f t="shared" ref="C53:N53" si="22">C52/C14</f>
        <v>0.52595927279471577</v>
      </c>
      <c r="D53" s="19">
        <f t="shared" si="22"/>
        <v>0.48789665585742414</v>
      </c>
      <c r="E53" s="19">
        <f t="shared" si="22"/>
        <v>0.46122975857265197</v>
      </c>
      <c r="F53" s="19">
        <f t="shared" si="22"/>
        <v>0.49854849394069278</v>
      </c>
      <c r="G53" s="19">
        <f t="shared" si="22"/>
        <v>0.46032930640421665</v>
      </c>
      <c r="H53" s="19">
        <f t="shared" si="22"/>
        <v>0.46206836456583522</v>
      </c>
      <c r="I53" s="19">
        <f t="shared" si="22"/>
        <v>0.46561182358004705</v>
      </c>
      <c r="J53" s="19">
        <f t="shared" si="22"/>
        <v>0.49347026752884504</v>
      </c>
      <c r="K53" s="19">
        <f t="shared" si="22"/>
        <v>0.48824806151512473</v>
      </c>
      <c r="L53" s="19">
        <f t="shared" si="22"/>
        <v>0.32632023149264533</v>
      </c>
      <c r="M53" s="19">
        <f t="shared" si="22"/>
        <v>0.46579753164338517</v>
      </c>
      <c r="N53" s="19">
        <f t="shared" si="22"/>
        <v>0.46490327337268939</v>
      </c>
      <c r="O53" s="12"/>
      <c r="P53" s="115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</row>
    <row r="54" spans="1:27" ht="14.1" customHeight="1" x14ac:dyDescent="0.25">
      <c r="A54" s="13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12"/>
      <c r="P54" s="115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</row>
    <row r="55" spans="1:27" ht="18" x14ac:dyDescent="0.25">
      <c r="A55" s="48" t="s">
        <v>70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12"/>
      <c r="P55" s="115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</row>
    <row r="56" spans="1:27" x14ac:dyDescent="0.25">
      <c r="A56" s="13" t="s">
        <v>71</v>
      </c>
      <c r="B56" s="22">
        <f>'TTM Serv '!B56*(1+'ProForma Serv'!$P$9)</f>
        <v>173.64999999999998</v>
      </c>
      <c r="C56" s="22">
        <f>'TTM Serv '!C56*(1+'ProForma Serv'!$P$9)</f>
        <v>167.89999999999998</v>
      </c>
      <c r="D56" s="22">
        <f>'TTM Serv '!D56*(1+'ProForma Serv'!$P$9)</f>
        <v>243.79999999999998</v>
      </c>
      <c r="E56" s="22">
        <f>'TTM Serv '!E56*(1+'ProForma Serv'!$P$9)</f>
        <v>248.39999999999998</v>
      </c>
      <c r="F56" s="22">
        <f>'TTM Serv '!F56*(1+'ProForma Serv'!$P$9)</f>
        <v>348.45</v>
      </c>
      <c r="G56" s="22">
        <f>'TTM Serv '!G56*(1+'ProForma Serv'!$P$9)</f>
        <v>276</v>
      </c>
      <c r="H56" s="22">
        <f>'TTM Serv '!H56*(1+'ProForma Serv'!$P$9)</f>
        <v>232.29999999999998</v>
      </c>
      <c r="I56" s="22">
        <f>'TTM Serv '!I56*(1+'ProForma Serv'!$P$9)</f>
        <v>315.09999999999997</v>
      </c>
      <c r="J56" s="22">
        <f>'TTM Serv '!J56*(1+'ProForma Serv'!$P$9)</f>
        <v>279.45</v>
      </c>
      <c r="K56" s="22">
        <f>'TTM Serv '!K56*(1+'ProForma Serv'!$P$9)</f>
        <v>418.59999999999997</v>
      </c>
      <c r="L56" s="22">
        <f>'TTM Serv '!L56*(1+'ProForma Serv'!$P$9)</f>
        <v>442.74999999999994</v>
      </c>
      <c r="M56" s="22">
        <f>'TTM Serv '!M56*(1+'ProForma Serv'!$P$9)</f>
        <v>341.54999999999995</v>
      </c>
      <c r="N56" s="123">
        <f>SUM(B56:M56)</f>
        <v>3487.95</v>
      </c>
      <c r="O56" s="12"/>
      <c r="P56" s="115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</row>
    <row r="57" spans="1:27" x14ac:dyDescent="0.25">
      <c r="A57" s="13" t="s">
        <v>72</v>
      </c>
      <c r="B57" s="22">
        <f>'TTM Serv '!B57*(1+'ProForma Serv'!$P$9)</f>
        <v>194.35</v>
      </c>
      <c r="C57" s="22">
        <f>'TTM Serv '!C57*(1+'ProForma Serv'!$P$9)</f>
        <v>201.24999999999997</v>
      </c>
      <c r="D57" s="22">
        <f>'TTM Serv '!D57*(1+'ProForma Serv'!$P$9)</f>
        <v>229.99999999999997</v>
      </c>
      <c r="E57" s="22">
        <f>'TTM Serv '!E57*(1+'ProForma Serv'!$P$9)</f>
        <v>269.09999999999997</v>
      </c>
      <c r="F57" s="22">
        <f>'TTM Serv '!F57*(1+'ProForma Serv'!$P$9)</f>
        <v>405.95</v>
      </c>
      <c r="G57" s="22">
        <f>'TTM Serv '!G57*(1+'ProForma Serv'!$P$9)</f>
        <v>365.7</v>
      </c>
      <c r="H57" s="22">
        <f>'TTM Serv '!H57*(1+'ProForma Serv'!$P$9)</f>
        <v>295.54999999999995</v>
      </c>
      <c r="I57" s="22">
        <f>'TTM Serv '!I57*(1+'ProForma Serv'!$P$9)</f>
        <v>300.14999999999998</v>
      </c>
      <c r="J57" s="22">
        <f>'TTM Serv '!J57*(1+'ProForma Serv'!$P$9)</f>
        <v>477.24999999999994</v>
      </c>
      <c r="K57" s="22">
        <f>'TTM Serv '!K57*(1+'ProForma Serv'!$P$9)</f>
        <v>583.04999999999995</v>
      </c>
      <c r="L57" s="22">
        <f>'TTM Serv '!L57*(1+'ProForma Serv'!$P$9)</f>
        <v>706.09999999999991</v>
      </c>
      <c r="M57" s="22">
        <f>'TTM Serv '!M57*(1+'ProForma Serv'!$P$9)</f>
        <v>388.7</v>
      </c>
      <c r="N57" s="123">
        <f t="shared" ref="N57:N58" si="23">SUM(B57:M57)</f>
        <v>4417.1499999999996</v>
      </c>
      <c r="O57" s="12"/>
      <c r="P57" s="115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</row>
    <row r="58" spans="1:27" x14ac:dyDescent="0.25">
      <c r="A58" s="13" t="s">
        <v>73</v>
      </c>
      <c r="B58" s="22">
        <f>'TTM Serv '!B58*(1+'ProForma Serv'!$P$9)</f>
        <v>0</v>
      </c>
      <c r="C58" s="22">
        <f>'TTM Serv '!C58*(1+'ProForma Serv'!$P$9)</f>
        <v>0</v>
      </c>
      <c r="D58" s="22">
        <f>'TTM Serv '!D58*(1+'ProForma Serv'!$P$9)</f>
        <v>0</v>
      </c>
      <c r="E58" s="22">
        <f>'TTM Serv '!E58*(1+'ProForma Serv'!$P$9)</f>
        <v>0</v>
      </c>
      <c r="F58" s="22">
        <f>'TTM Serv '!F58*(1+'ProForma Serv'!$P$9)</f>
        <v>0</v>
      </c>
      <c r="G58" s="22">
        <f>'TTM Serv '!G58*(1+'ProForma Serv'!$P$9)</f>
        <v>0</v>
      </c>
      <c r="H58" s="22">
        <f>'TTM Serv '!H58*(1+'ProForma Serv'!$P$9)</f>
        <v>0</v>
      </c>
      <c r="I58" s="22">
        <f>'TTM Serv '!I58*(1+'ProForma Serv'!$P$9)</f>
        <v>121.89999999999999</v>
      </c>
      <c r="J58" s="22">
        <f>'TTM Serv '!J58*(1+'ProForma Serv'!$P$9)</f>
        <v>0</v>
      </c>
      <c r="K58" s="22">
        <f>'TTM Serv '!K58*(1+'ProForma Serv'!$P$9)</f>
        <v>17.25</v>
      </c>
      <c r="L58" s="22">
        <f>'TTM Serv '!L58*(1+'ProForma Serv'!$P$9)</f>
        <v>0</v>
      </c>
      <c r="M58" s="22">
        <f>'TTM Serv '!M58*(1+'ProForma Serv'!$P$9)</f>
        <v>607.19999999999993</v>
      </c>
      <c r="N58" s="123">
        <f t="shared" si="23"/>
        <v>746.34999999999991</v>
      </c>
      <c r="O58" s="12"/>
      <c r="P58" s="115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</row>
    <row r="59" spans="1:27" x14ac:dyDescent="0.25">
      <c r="A59" s="13" t="s">
        <v>74</v>
      </c>
      <c r="B59" s="46">
        <f>SUM(B56:B58)</f>
        <v>368</v>
      </c>
      <c r="C59" s="46">
        <f t="shared" ref="C59:N59" si="24">SUM(C56:C58)</f>
        <v>369.15</v>
      </c>
      <c r="D59" s="46">
        <f t="shared" si="24"/>
        <v>473.79999999999995</v>
      </c>
      <c r="E59" s="46">
        <f t="shared" si="24"/>
        <v>517.5</v>
      </c>
      <c r="F59" s="46">
        <f t="shared" si="24"/>
        <v>754.4</v>
      </c>
      <c r="G59" s="46">
        <f t="shared" si="24"/>
        <v>641.70000000000005</v>
      </c>
      <c r="H59" s="46">
        <f t="shared" si="24"/>
        <v>527.84999999999991</v>
      </c>
      <c r="I59" s="46">
        <f t="shared" si="24"/>
        <v>737.15</v>
      </c>
      <c r="J59" s="46">
        <f t="shared" si="24"/>
        <v>756.69999999999993</v>
      </c>
      <c r="K59" s="46">
        <f t="shared" si="24"/>
        <v>1018.8999999999999</v>
      </c>
      <c r="L59" s="46">
        <f t="shared" si="24"/>
        <v>1148.8499999999999</v>
      </c>
      <c r="M59" s="46">
        <f t="shared" si="24"/>
        <v>1337.4499999999998</v>
      </c>
      <c r="N59" s="46">
        <f t="shared" si="24"/>
        <v>8651.4499999999989</v>
      </c>
      <c r="O59" s="12"/>
      <c r="P59" s="115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</row>
    <row r="60" spans="1:27" x14ac:dyDescent="0.25">
      <c r="A60" s="13" t="s">
        <v>75</v>
      </c>
      <c r="B60" s="49">
        <f>B18-B59</f>
        <v>365.69999999999993</v>
      </c>
      <c r="C60" s="49">
        <f t="shared" ref="C60:N60" si="25">C18-C59</f>
        <v>379.49999999999989</v>
      </c>
      <c r="D60" s="49">
        <f t="shared" si="25"/>
        <v>894.7</v>
      </c>
      <c r="E60" s="49">
        <f t="shared" si="25"/>
        <v>1567.4499999999998</v>
      </c>
      <c r="F60" s="49">
        <f t="shared" si="25"/>
        <v>1244.2999999999997</v>
      </c>
      <c r="G60" s="49">
        <f t="shared" si="25"/>
        <v>679.64999999999986</v>
      </c>
      <c r="H60" s="49">
        <f t="shared" si="25"/>
        <v>205.85000000000002</v>
      </c>
      <c r="I60" s="49">
        <f t="shared" si="25"/>
        <v>373.74999999999989</v>
      </c>
      <c r="J60" s="49">
        <f t="shared" si="25"/>
        <v>1328.25</v>
      </c>
      <c r="K60" s="49">
        <f t="shared" si="25"/>
        <v>1701.9999999999998</v>
      </c>
      <c r="L60" s="49">
        <f t="shared" si="25"/>
        <v>2113.7000000000003</v>
      </c>
      <c r="M60" s="49">
        <f t="shared" si="25"/>
        <v>629.05000000000018</v>
      </c>
      <c r="N60" s="49">
        <f t="shared" si="25"/>
        <v>11483.9</v>
      </c>
      <c r="O60" s="12"/>
      <c r="P60" s="115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</row>
    <row r="61" spans="1:27" x14ac:dyDescent="0.25">
      <c r="A61" s="13" t="s">
        <v>76</v>
      </c>
      <c r="B61" s="19">
        <f>B60/B18</f>
        <v>0.49843260188087768</v>
      </c>
      <c r="C61" s="19">
        <f t="shared" ref="C61:N61" si="26">C60/C18</f>
        <v>0.50691244239631328</v>
      </c>
      <c r="D61" s="19">
        <f t="shared" si="26"/>
        <v>0.65378151260504203</v>
      </c>
      <c r="E61" s="19">
        <f t="shared" si="26"/>
        <v>0.75179260893546607</v>
      </c>
      <c r="F61" s="19">
        <f t="shared" si="26"/>
        <v>0.62255466052934394</v>
      </c>
      <c r="G61" s="19">
        <f t="shared" si="26"/>
        <v>0.5143603133159268</v>
      </c>
      <c r="H61" s="19">
        <f t="shared" si="26"/>
        <v>0.28056426332288409</v>
      </c>
      <c r="I61" s="19">
        <f t="shared" si="26"/>
        <v>0.33643892339544507</v>
      </c>
      <c r="J61" s="19">
        <f t="shared" si="26"/>
        <v>0.63706563706563712</v>
      </c>
      <c r="K61" s="19">
        <f t="shared" si="26"/>
        <v>0.62552831783601015</v>
      </c>
      <c r="L61" s="19">
        <f t="shared" si="26"/>
        <v>0.64786746563271069</v>
      </c>
      <c r="M61" s="19">
        <f t="shared" si="26"/>
        <v>0.3198830409356726</v>
      </c>
      <c r="N61" s="19">
        <f t="shared" si="26"/>
        <v>0.57033525615397795</v>
      </c>
      <c r="O61" s="12"/>
      <c r="P61" s="115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</row>
    <row r="62" spans="1:27" ht="17.100000000000001" hidden="1" customHeight="1" x14ac:dyDescent="0.25">
      <c r="A62" s="13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12"/>
      <c r="P62" s="115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</row>
    <row r="63" spans="1:27" hidden="1" x14ac:dyDescent="0.25">
      <c r="A63" s="13" t="s">
        <v>77</v>
      </c>
      <c r="B63" s="6"/>
      <c r="C63" s="6"/>
      <c r="D63" s="6"/>
      <c r="E63" s="6"/>
      <c r="F63" s="6"/>
      <c r="G63" s="6"/>
      <c r="H63" s="6"/>
      <c r="I63" s="6">
        <v>1017</v>
      </c>
      <c r="J63" s="6">
        <v>840</v>
      </c>
      <c r="K63" s="6">
        <v>1238</v>
      </c>
      <c r="L63" s="6">
        <v>751</v>
      </c>
      <c r="M63" s="6">
        <v>575</v>
      </c>
      <c r="N63" s="43">
        <v>4420</v>
      </c>
      <c r="O63" s="12"/>
      <c r="P63" s="115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</row>
    <row r="64" spans="1:27" hidden="1" x14ac:dyDescent="0.25">
      <c r="A64" s="13" t="s">
        <v>78</v>
      </c>
      <c r="B64" s="6"/>
      <c r="C64" s="6"/>
      <c r="D64" s="6"/>
      <c r="E64" s="6"/>
      <c r="F64" s="6"/>
      <c r="G64" s="6"/>
      <c r="H64" s="6"/>
      <c r="I64" s="6">
        <v>353</v>
      </c>
      <c r="J64" s="6">
        <v>409</v>
      </c>
      <c r="K64" s="6">
        <v>427</v>
      </c>
      <c r="L64" s="6">
        <v>409</v>
      </c>
      <c r="M64" s="6">
        <v>260</v>
      </c>
      <c r="N64" s="43">
        <v>1858</v>
      </c>
      <c r="O64" s="12"/>
      <c r="P64" s="115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</row>
    <row r="65" spans="1:27" x14ac:dyDescent="0.25">
      <c r="A65" s="13" t="s">
        <v>79</v>
      </c>
      <c r="B65" s="114">
        <f>SUM(B63:B64)</f>
        <v>0</v>
      </c>
      <c r="C65" s="114">
        <f t="shared" ref="C65:N65" si="27">SUM(C63:C64)</f>
        <v>0</v>
      </c>
      <c r="D65" s="114">
        <f t="shared" si="27"/>
        <v>0</v>
      </c>
      <c r="E65" s="114">
        <f t="shared" si="27"/>
        <v>0</v>
      </c>
      <c r="F65" s="114">
        <f t="shared" si="27"/>
        <v>0</v>
      </c>
      <c r="G65" s="114">
        <f t="shared" si="27"/>
        <v>0</v>
      </c>
      <c r="H65" s="114">
        <f t="shared" si="27"/>
        <v>0</v>
      </c>
      <c r="I65" s="114">
        <f t="shared" si="27"/>
        <v>1370</v>
      </c>
      <c r="J65" s="114">
        <f t="shared" si="27"/>
        <v>1249</v>
      </c>
      <c r="K65" s="114">
        <f t="shared" si="27"/>
        <v>1665</v>
      </c>
      <c r="L65" s="114">
        <f t="shared" si="27"/>
        <v>1160</v>
      </c>
      <c r="M65" s="114">
        <f t="shared" si="27"/>
        <v>835</v>
      </c>
      <c r="N65" s="114">
        <f t="shared" si="27"/>
        <v>6278</v>
      </c>
      <c r="O65" s="12"/>
      <c r="P65" s="115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</row>
    <row r="66" spans="1:27" ht="12" customHeight="1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2"/>
      <c r="P66" s="115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</row>
    <row r="67" spans="1:27" x14ac:dyDescent="0.25">
      <c r="A67" s="13" t="s">
        <v>83</v>
      </c>
      <c r="B67" s="46">
        <f>B29+B36+B43+B51+B59+B65</f>
        <v>16672.699999999997</v>
      </c>
      <c r="C67" s="46">
        <f t="shared" ref="C67:N67" si="28">C29+C36+C43+C51+C59+C65</f>
        <v>18296.5</v>
      </c>
      <c r="D67" s="46">
        <f t="shared" si="28"/>
        <v>16572.649999999998</v>
      </c>
      <c r="E67" s="46">
        <f t="shared" si="28"/>
        <v>16633.599999999999</v>
      </c>
      <c r="F67" s="46">
        <f t="shared" si="28"/>
        <v>20435.5</v>
      </c>
      <c r="G67" s="46">
        <f t="shared" si="28"/>
        <v>17977.95</v>
      </c>
      <c r="H67" s="46">
        <f t="shared" si="28"/>
        <v>17971.049999999996</v>
      </c>
      <c r="I67" s="46">
        <f t="shared" si="28"/>
        <v>23558.1</v>
      </c>
      <c r="J67" s="46">
        <f t="shared" si="28"/>
        <v>22158.3</v>
      </c>
      <c r="K67" s="46">
        <f t="shared" si="28"/>
        <v>26486.6</v>
      </c>
      <c r="L67" s="46">
        <f t="shared" si="28"/>
        <v>28380.499999999996</v>
      </c>
      <c r="M67" s="46">
        <f t="shared" si="28"/>
        <v>23024.249999999996</v>
      </c>
      <c r="N67" s="46">
        <f t="shared" si="28"/>
        <v>248166.69999999998</v>
      </c>
      <c r="O67" s="12"/>
      <c r="P67" s="115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</row>
    <row r="68" spans="1:27" x14ac:dyDescent="0.25">
      <c r="A68" s="13" t="s">
        <v>84</v>
      </c>
      <c r="B68" s="46">
        <f>B22-B67</f>
        <v>10826.065500000001</v>
      </c>
      <c r="C68" s="46">
        <f t="shared" ref="C68:N68" si="29">C22-C67</f>
        <v>14869.994500000001</v>
      </c>
      <c r="D68" s="46">
        <f t="shared" si="29"/>
        <v>12915.799499999997</v>
      </c>
      <c r="E68" s="46">
        <f t="shared" si="29"/>
        <v>14246.142500000002</v>
      </c>
      <c r="F68" s="46">
        <f t="shared" si="29"/>
        <v>17884.089999999997</v>
      </c>
      <c r="G68" s="46">
        <f t="shared" si="29"/>
        <v>14002.694</v>
      </c>
      <c r="H68" s="46">
        <f t="shared" si="29"/>
        <v>12512.762000000006</v>
      </c>
      <c r="I68" s="46">
        <f t="shared" si="29"/>
        <v>14022.779500000004</v>
      </c>
      <c r="J68" s="46">
        <f t="shared" si="29"/>
        <v>18136.702500000003</v>
      </c>
      <c r="K68" s="46">
        <f t="shared" si="29"/>
        <v>17143.270000000004</v>
      </c>
      <c r="L68" s="46">
        <f t="shared" si="29"/>
        <v>17727.143</v>
      </c>
      <c r="M68" s="46">
        <f t="shared" si="29"/>
        <v>17225.413500000006</v>
      </c>
      <c r="N68" s="46">
        <f t="shared" si="29"/>
        <v>181513.85650000002</v>
      </c>
      <c r="O68" s="12"/>
      <c r="P68" s="115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</row>
    <row r="69" spans="1:27" x14ac:dyDescent="0.25">
      <c r="A69" s="13" t="s">
        <v>85</v>
      </c>
      <c r="B69" s="19">
        <f>B68/B22</f>
        <v>0.39369278231780991</v>
      </c>
      <c r="C69" s="19">
        <f t="shared" ref="C69:N69" si="30">C68/C22</f>
        <v>0.44834387004632043</v>
      </c>
      <c r="D69" s="19">
        <f t="shared" si="30"/>
        <v>0.43799520554649707</v>
      </c>
      <c r="E69" s="19">
        <f t="shared" si="30"/>
        <v>0.46134265854062745</v>
      </c>
      <c r="F69" s="19">
        <f t="shared" si="30"/>
        <v>0.46670880351277239</v>
      </c>
      <c r="G69" s="19">
        <f t="shared" si="30"/>
        <v>0.43784903143288795</v>
      </c>
      <c r="H69" s="19">
        <f t="shared" si="30"/>
        <v>0.41047235168620005</v>
      </c>
      <c r="I69" s="19">
        <f t="shared" si="30"/>
        <v>0.3731360118913663</v>
      </c>
      <c r="J69" s="19">
        <f t="shared" si="30"/>
        <v>0.45009806116775902</v>
      </c>
      <c r="K69" s="19">
        <f t="shared" si="30"/>
        <v>0.39292507632958801</v>
      </c>
      <c r="L69" s="19">
        <f t="shared" si="30"/>
        <v>0.38447298206069658</v>
      </c>
      <c r="M69" s="19">
        <f t="shared" si="30"/>
        <v>0.42796416173765045</v>
      </c>
      <c r="N69" s="19">
        <f t="shared" si="30"/>
        <v>0.42243907422420224</v>
      </c>
      <c r="O69" s="12"/>
      <c r="P69" s="115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</row>
    <row r="70" spans="1:27" x14ac:dyDescent="0.25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12"/>
      <c r="P70" s="115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</row>
    <row r="71" spans="1:27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6"/>
      <c r="P71" s="115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</row>
    <row r="72" spans="1:27" x14ac:dyDescent="0.25">
      <c r="A72" s="13" t="s">
        <v>86</v>
      </c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</row>
    <row r="73" spans="1:27" ht="20.100000000000001" hidden="1" customHeight="1" x14ac:dyDescent="0.25">
      <c r="A73" s="13" t="s">
        <v>87</v>
      </c>
      <c r="B73" s="6">
        <v>250</v>
      </c>
      <c r="C73" s="18">
        <v>1931.2</v>
      </c>
      <c r="D73" s="6">
        <v>250</v>
      </c>
      <c r="E73" s="6">
        <v>250</v>
      </c>
      <c r="F73" s="6">
        <v>250</v>
      </c>
      <c r="G73" s="6">
        <v>250</v>
      </c>
      <c r="H73" s="6">
        <v>250</v>
      </c>
      <c r="I73" s="6">
        <v>399.43</v>
      </c>
      <c r="J73" s="6">
        <v>250</v>
      </c>
      <c r="K73" s="6">
        <v>250</v>
      </c>
      <c r="L73" s="6">
        <v>250</v>
      </c>
      <c r="M73" s="6">
        <v>250</v>
      </c>
      <c r="N73" s="18">
        <v>4830.63</v>
      </c>
      <c r="O73" s="6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</row>
    <row r="74" spans="1:27" ht="20.100000000000001" hidden="1" customHeight="1" x14ac:dyDescent="0.25">
      <c r="A74" s="13" t="s">
        <v>88</v>
      </c>
      <c r="B74" s="6"/>
      <c r="C74" s="6"/>
      <c r="D74" s="6">
        <v>200</v>
      </c>
      <c r="E74" s="6">
        <v>100</v>
      </c>
      <c r="F74" s="6">
        <v>250</v>
      </c>
      <c r="G74" s="6">
        <v>112.24</v>
      </c>
      <c r="H74" s="6"/>
      <c r="I74" s="6">
        <v>450</v>
      </c>
      <c r="J74" s="6">
        <v>50</v>
      </c>
      <c r="K74" s="6">
        <v>25</v>
      </c>
      <c r="L74" s="6"/>
      <c r="M74" s="6">
        <v>200</v>
      </c>
      <c r="N74" s="18">
        <v>1387.24</v>
      </c>
      <c r="O74" s="6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</row>
    <row r="75" spans="1:27" ht="20.100000000000001" hidden="1" customHeight="1" x14ac:dyDescent="0.25">
      <c r="A75" s="13" t="s">
        <v>89</v>
      </c>
      <c r="B75" s="6"/>
      <c r="C75" s="6"/>
      <c r="D75" s="6">
        <v>51.55</v>
      </c>
      <c r="E75" s="6">
        <v>58.65</v>
      </c>
      <c r="F75" s="6">
        <v>40.549999999999997</v>
      </c>
      <c r="G75" s="6">
        <v>76.55</v>
      </c>
      <c r="H75" s="6">
        <v>42.97</v>
      </c>
      <c r="I75" s="6">
        <v>86.55</v>
      </c>
      <c r="J75" s="6">
        <v>55.65</v>
      </c>
      <c r="K75" s="6">
        <v>44.55</v>
      </c>
      <c r="L75" s="6">
        <v>3.9</v>
      </c>
      <c r="M75" s="6"/>
      <c r="N75" s="6">
        <v>460.92</v>
      </c>
      <c r="O75" s="6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</row>
    <row r="76" spans="1:27" ht="20.100000000000001" hidden="1" customHeight="1" x14ac:dyDescent="0.25">
      <c r="A76" s="13" t="s">
        <v>90</v>
      </c>
      <c r="B76" s="6">
        <v>500</v>
      </c>
      <c r="C76" s="6">
        <v>500</v>
      </c>
      <c r="D76" s="6">
        <v>500</v>
      </c>
      <c r="E76" s="6">
        <v>500</v>
      </c>
      <c r="F76" s="6">
        <v>500</v>
      </c>
      <c r="G76" s="6">
        <v>500</v>
      </c>
      <c r="H76" s="6">
        <v>500</v>
      </c>
      <c r="I76" s="6">
        <v>752.41</v>
      </c>
      <c r="J76" s="6">
        <v>500</v>
      </c>
      <c r="K76" s="6">
        <v>500</v>
      </c>
      <c r="L76" s="6">
        <v>500</v>
      </c>
      <c r="M76" s="6">
        <v>500</v>
      </c>
      <c r="N76" s="18">
        <v>6252.41</v>
      </c>
      <c r="O76" s="6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</row>
    <row r="77" spans="1:27" x14ac:dyDescent="0.25">
      <c r="A77" s="13" t="s">
        <v>91</v>
      </c>
      <c r="B77" s="53">
        <v>750</v>
      </c>
      <c r="C77" s="53">
        <v>2431.1999999999998</v>
      </c>
      <c r="D77" s="53">
        <v>1001.55</v>
      </c>
      <c r="E77" s="53">
        <v>908.65</v>
      </c>
      <c r="F77" s="53">
        <v>1040.55</v>
      </c>
      <c r="G77" s="53">
        <v>938.79</v>
      </c>
      <c r="H77" s="53">
        <v>792.97</v>
      </c>
      <c r="I77" s="53">
        <v>1688.39</v>
      </c>
      <c r="J77" s="53">
        <v>855.65</v>
      </c>
      <c r="K77" s="53">
        <v>819.55</v>
      </c>
      <c r="L77" s="53">
        <v>753.9</v>
      </c>
      <c r="M77" s="53">
        <v>950</v>
      </c>
      <c r="N77" s="53">
        <v>12931.2</v>
      </c>
      <c r="O77" s="6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</row>
    <row r="78" spans="1:27" x14ac:dyDescent="0.25">
      <c r="A78" s="13" t="s">
        <v>92</v>
      </c>
      <c r="B78" s="6">
        <v>750</v>
      </c>
      <c r="C78" s="6">
        <v>750</v>
      </c>
      <c r="D78" s="6">
        <v>750</v>
      </c>
      <c r="E78" s="6">
        <v>750</v>
      </c>
      <c r="F78" s="6">
        <v>750</v>
      </c>
      <c r="G78" s="6">
        <v>750</v>
      </c>
      <c r="H78" s="6">
        <v>750</v>
      </c>
      <c r="I78" s="6">
        <v>750</v>
      </c>
      <c r="J78" s="6">
        <v>750</v>
      </c>
      <c r="K78" s="6">
        <v>750</v>
      </c>
      <c r="L78" s="6">
        <v>750</v>
      </c>
      <c r="M78" s="6">
        <v>826.42</v>
      </c>
      <c r="N78" s="18">
        <v>9076.42</v>
      </c>
      <c r="O78" s="6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</row>
    <row r="79" spans="1:27" hidden="1" x14ac:dyDescent="0.25">
      <c r="A79" s="13" t="s">
        <v>93</v>
      </c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>
        <v>0</v>
      </c>
      <c r="O79" s="6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</row>
    <row r="80" spans="1:27" hidden="1" x14ac:dyDescent="0.25">
      <c r="A80" s="13" t="s">
        <v>94</v>
      </c>
      <c r="B80" s="6"/>
      <c r="C80" s="6"/>
      <c r="D80" s="6"/>
      <c r="E80" s="6"/>
      <c r="F80" s="6"/>
      <c r="G80" s="6">
        <v>97.96</v>
      </c>
      <c r="H80" s="6"/>
      <c r="I80" s="6"/>
      <c r="J80" s="6"/>
      <c r="K80" s="6"/>
      <c r="L80" s="6"/>
      <c r="M80" s="6"/>
      <c r="N80" s="6">
        <v>97.96</v>
      </c>
      <c r="O80" s="6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</row>
    <row r="81" spans="1:27" hidden="1" x14ac:dyDescent="0.25">
      <c r="A81" s="13" t="s">
        <v>95</v>
      </c>
      <c r="B81" s="6">
        <v>103.56</v>
      </c>
      <c r="C81" s="6">
        <v>106.46</v>
      </c>
      <c r="D81" s="6">
        <v>118.44</v>
      </c>
      <c r="E81" s="6">
        <v>165.13</v>
      </c>
      <c r="F81" s="6">
        <v>167.55</v>
      </c>
      <c r="G81" s="6">
        <v>163.69999999999999</v>
      </c>
      <c r="H81" s="6">
        <v>126.24</v>
      </c>
      <c r="I81" s="6">
        <v>93.22</v>
      </c>
      <c r="J81" s="6">
        <v>109.01</v>
      </c>
      <c r="K81" s="6">
        <v>135.97</v>
      </c>
      <c r="L81" s="6">
        <v>132.30000000000001</v>
      </c>
      <c r="M81" s="6">
        <v>145.02000000000001</v>
      </c>
      <c r="N81" s="18">
        <v>1566.6</v>
      </c>
      <c r="O81" s="6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</row>
    <row r="82" spans="1:27" hidden="1" x14ac:dyDescent="0.25">
      <c r="A82" s="13" t="s">
        <v>96</v>
      </c>
      <c r="B82" s="6">
        <v>5.37</v>
      </c>
      <c r="C82" s="6">
        <v>4.29</v>
      </c>
      <c r="D82" s="6">
        <v>8.0500000000000007</v>
      </c>
      <c r="E82" s="6"/>
      <c r="F82" s="6">
        <v>1.28</v>
      </c>
      <c r="G82" s="6">
        <v>6.45</v>
      </c>
      <c r="H82" s="6">
        <v>4.21</v>
      </c>
      <c r="I82" s="6">
        <v>6.89</v>
      </c>
      <c r="J82" s="6">
        <v>8.43</v>
      </c>
      <c r="K82" s="6">
        <v>4.3899999999999997</v>
      </c>
      <c r="L82" s="6"/>
      <c r="M82" s="6">
        <v>8.4499999999999993</v>
      </c>
      <c r="N82" s="6">
        <v>57.81</v>
      </c>
      <c r="O82" s="6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</row>
    <row r="83" spans="1:27" hidden="1" x14ac:dyDescent="0.25">
      <c r="A83" s="13" t="s">
        <v>97</v>
      </c>
      <c r="B83" s="6">
        <v>37.72</v>
      </c>
      <c r="C83" s="6">
        <v>45.04</v>
      </c>
      <c r="D83" s="6">
        <v>57.61</v>
      </c>
      <c r="E83" s="6">
        <v>66.67</v>
      </c>
      <c r="F83" s="6">
        <v>60.27</v>
      </c>
      <c r="G83" s="6">
        <v>53.63</v>
      </c>
      <c r="H83" s="6">
        <v>68.11</v>
      </c>
      <c r="I83" s="6">
        <v>95.96</v>
      </c>
      <c r="J83" s="6">
        <v>76.75</v>
      </c>
      <c r="K83" s="6">
        <v>110.66</v>
      </c>
      <c r="L83" s="6">
        <v>75.95</v>
      </c>
      <c r="M83" s="6">
        <v>74.930000000000007</v>
      </c>
      <c r="N83" s="6">
        <v>823.3</v>
      </c>
      <c r="O83" s="6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</row>
    <row r="84" spans="1:27" hidden="1" x14ac:dyDescent="0.25">
      <c r="A84" s="13" t="s">
        <v>98</v>
      </c>
      <c r="B84" s="6">
        <v>341.6</v>
      </c>
      <c r="C84" s="6">
        <v>434.18</v>
      </c>
      <c r="D84" s="6">
        <v>342.85</v>
      </c>
      <c r="E84" s="6">
        <v>287.10000000000002</v>
      </c>
      <c r="F84" s="6">
        <v>378.43</v>
      </c>
      <c r="G84" s="6">
        <v>313.27999999999997</v>
      </c>
      <c r="H84" s="6">
        <v>383.68</v>
      </c>
      <c r="I84" s="6">
        <v>497.99</v>
      </c>
      <c r="J84" s="6">
        <v>434.05</v>
      </c>
      <c r="K84" s="6">
        <v>455.43</v>
      </c>
      <c r="L84" s="6">
        <v>380.1</v>
      </c>
      <c r="M84" s="6">
        <v>361.43</v>
      </c>
      <c r="N84" s="18">
        <v>4610.12</v>
      </c>
      <c r="O84" s="6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</row>
    <row r="85" spans="1:27" x14ac:dyDescent="0.25">
      <c r="A85" s="13" t="s">
        <v>99</v>
      </c>
      <c r="B85" s="53">
        <v>488.25</v>
      </c>
      <c r="C85" s="53">
        <v>589.97</v>
      </c>
      <c r="D85" s="53">
        <v>526.95000000000005</v>
      </c>
      <c r="E85" s="53">
        <v>518.9</v>
      </c>
      <c r="F85" s="53">
        <v>607.53</v>
      </c>
      <c r="G85" s="53">
        <v>537.05999999999995</v>
      </c>
      <c r="H85" s="53">
        <v>582.24</v>
      </c>
      <c r="I85" s="53">
        <v>694.06</v>
      </c>
      <c r="J85" s="53">
        <v>628.24</v>
      </c>
      <c r="K85" s="53">
        <v>706.45</v>
      </c>
      <c r="L85" s="53">
        <v>588.35</v>
      </c>
      <c r="M85" s="53">
        <v>589.83000000000004</v>
      </c>
      <c r="N85" s="53">
        <v>7057.83</v>
      </c>
      <c r="O85" s="6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</row>
    <row r="86" spans="1:27" hidden="1" x14ac:dyDescent="0.25">
      <c r="A86" s="13" t="s">
        <v>100</v>
      </c>
      <c r="B86" s="6"/>
      <c r="C86" s="6"/>
      <c r="D86" s="6"/>
      <c r="E86" s="6"/>
      <c r="F86" s="6"/>
      <c r="G86" s="6">
        <v>74</v>
      </c>
      <c r="H86" s="6"/>
      <c r="I86" s="6"/>
      <c r="J86" s="6"/>
      <c r="K86" s="6"/>
      <c r="L86" s="6"/>
      <c r="M86" s="6">
        <v>100</v>
      </c>
      <c r="N86" s="6">
        <v>174</v>
      </c>
      <c r="O86" s="12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</row>
    <row r="87" spans="1:27" hidden="1" x14ac:dyDescent="0.25">
      <c r="A87" s="13" t="s">
        <v>101</v>
      </c>
      <c r="B87" s="6">
        <v>17.32</v>
      </c>
      <c r="C87" s="6">
        <v>29.63</v>
      </c>
      <c r="D87" s="6">
        <v>9.66</v>
      </c>
      <c r="E87" s="6">
        <v>151.71</v>
      </c>
      <c r="F87" s="6">
        <v>76.55</v>
      </c>
      <c r="G87" s="6">
        <v>42.97</v>
      </c>
      <c r="H87" s="6">
        <v>86.55</v>
      </c>
      <c r="I87" s="6">
        <v>29.15</v>
      </c>
      <c r="J87" s="6">
        <v>2</v>
      </c>
      <c r="K87" s="6">
        <v>44.21</v>
      </c>
      <c r="L87" s="6">
        <v>56.25</v>
      </c>
      <c r="M87" s="6">
        <v>128.94</v>
      </c>
      <c r="N87" s="6">
        <v>674.94</v>
      </c>
      <c r="O87" s="6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</row>
    <row r="88" spans="1:27" hidden="1" x14ac:dyDescent="0.25">
      <c r="A88" s="13" t="s">
        <v>102</v>
      </c>
      <c r="B88" s="6">
        <v>110</v>
      </c>
      <c r="C88" s="6"/>
      <c r="D88" s="6">
        <v>168.98</v>
      </c>
      <c r="E88" s="6">
        <v>261.29000000000002</v>
      </c>
      <c r="F88" s="6"/>
      <c r="G88" s="6"/>
      <c r="H88" s="6"/>
      <c r="I88" s="6"/>
      <c r="J88" s="6">
        <v>187.75</v>
      </c>
      <c r="K88" s="6"/>
      <c r="L88" s="6">
        <v>36</v>
      </c>
      <c r="M88" s="6"/>
      <c r="N88" s="6">
        <v>764.02</v>
      </c>
      <c r="O88" s="6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</row>
    <row r="89" spans="1:27" hidden="1" x14ac:dyDescent="0.25">
      <c r="A89" s="13" t="s">
        <v>103</v>
      </c>
      <c r="B89" s="6"/>
      <c r="C89" s="6"/>
      <c r="D89" s="6"/>
      <c r="E89" s="6"/>
      <c r="F89" s="6"/>
      <c r="G89" s="6"/>
      <c r="H89" s="6">
        <v>26.13</v>
      </c>
      <c r="I89" s="6"/>
      <c r="J89" s="6"/>
      <c r="K89" s="6"/>
      <c r="L89" s="6"/>
      <c r="M89" s="6"/>
      <c r="N89" s="6">
        <v>26.13</v>
      </c>
      <c r="O89" s="6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</row>
    <row r="90" spans="1:27" hidden="1" x14ac:dyDescent="0.25">
      <c r="A90" s="13" t="s">
        <v>104</v>
      </c>
      <c r="B90" s="6">
        <v>175</v>
      </c>
      <c r="C90" s="6">
        <v>175</v>
      </c>
      <c r="D90" s="6">
        <v>393.84</v>
      </c>
      <c r="E90" s="6">
        <v>175</v>
      </c>
      <c r="F90" s="6">
        <v>175</v>
      </c>
      <c r="G90" s="6">
        <v>175</v>
      </c>
      <c r="H90" s="6">
        <v>175</v>
      </c>
      <c r="I90" s="6">
        <v>175</v>
      </c>
      <c r="J90" s="6">
        <v>175</v>
      </c>
      <c r="K90" s="6">
        <v>175</v>
      </c>
      <c r="L90" s="6">
        <v>175</v>
      </c>
      <c r="M90" s="6">
        <v>175</v>
      </c>
      <c r="N90" s="18">
        <v>2318.84</v>
      </c>
      <c r="O90" s="6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</row>
    <row r="91" spans="1:27" hidden="1" x14ac:dyDescent="0.25">
      <c r="A91" s="13" t="s">
        <v>105</v>
      </c>
      <c r="B91" s="6">
        <v>91.66</v>
      </c>
      <c r="C91" s="6">
        <v>91.66</v>
      </c>
      <c r="D91" s="6">
        <v>91.66</v>
      </c>
      <c r="E91" s="6">
        <v>91.66</v>
      </c>
      <c r="F91" s="6">
        <v>91.66</v>
      </c>
      <c r="G91" s="6">
        <v>91.66</v>
      </c>
      <c r="H91" s="6">
        <v>91.66</v>
      </c>
      <c r="I91" s="6">
        <v>123.25</v>
      </c>
      <c r="J91" s="6">
        <v>91.66</v>
      </c>
      <c r="K91" s="6">
        <v>91.66</v>
      </c>
      <c r="L91" s="6">
        <v>91.66</v>
      </c>
      <c r="M91" s="6">
        <v>91.66</v>
      </c>
      <c r="N91" s="18">
        <v>1131.51</v>
      </c>
      <c r="O91" s="6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</row>
    <row r="92" spans="1:27" hidden="1" x14ac:dyDescent="0.25">
      <c r="A92" s="13" t="s">
        <v>106</v>
      </c>
      <c r="B92" s="6">
        <v>1.07</v>
      </c>
      <c r="C92" s="6">
        <v>2.0499999999999998</v>
      </c>
      <c r="D92" s="6">
        <v>20.07</v>
      </c>
      <c r="E92" s="6">
        <v>7.06</v>
      </c>
      <c r="F92" s="6">
        <v>22.14</v>
      </c>
      <c r="G92" s="6">
        <v>30.04</v>
      </c>
      <c r="H92" s="6">
        <v>5.56</v>
      </c>
      <c r="I92" s="6">
        <v>4.87</v>
      </c>
      <c r="J92" s="6">
        <v>51.55</v>
      </c>
      <c r="K92" s="6">
        <v>58.65</v>
      </c>
      <c r="L92" s="6">
        <v>40.549999999999997</v>
      </c>
      <c r="M92" s="18">
        <v>1958.45</v>
      </c>
      <c r="N92" s="18">
        <v>2202.06</v>
      </c>
      <c r="O92" s="6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</row>
    <row r="93" spans="1:27" hidden="1" x14ac:dyDescent="0.25">
      <c r="A93" s="13" t="s">
        <v>107</v>
      </c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>
        <v>0</v>
      </c>
      <c r="O93" s="6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</row>
    <row r="94" spans="1:27" hidden="1" x14ac:dyDescent="0.25">
      <c r="A94" s="13" t="s">
        <v>108</v>
      </c>
      <c r="B94" s="6"/>
      <c r="C94" s="6"/>
      <c r="D94" s="6"/>
      <c r="E94" s="6"/>
      <c r="F94" s="18">
        <v>1700</v>
      </c>
      <c r="G94" s="6"/>
      <c r="H94" s="6"/>
      <c r="I94" s="6">
        <v>131.05000000000001</v>
      </c>
      <c r="J94" s="6"/>
      <c r="K94" s="6"/>
      <c r="L94" s="6"/>
      <c r="M94" s="6"/>
      <c r="N94" s="18">
        <v>1831.05</v>
      </c>
      <c r="O94" s="6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</row>
    <row r="95" spans="1:27" hidden="1" x14ac:dyDescent="0.25">
      <c r="A95" s="13" t="s">
        <v>109</v>
      </c>
      <c r="B95" s="6">
        <v>257.54000000000002</v>
      </c>
      <c r="C95" s="6">
        <v>659.94</v>
      </c>
      <c r="D95" s="6">
        <v>808.54</v>
      </c>
      <c r="E95" s="6">
        <v>363.98</v>
      </c>
      <c r="F95" s="6">
        <v>409.63</v>
      </c>
      <c r="G95" s="6">
        <v>245.29</v>
      </c>
      <c r="H95" s="6">
        <v>381.06</v>
      </c>
      <c r="I95" s="6">
        <v>289.06</v>
      </c>
      <c r="J95" s="6">
        <v>276.48</v>
      </c>
      <c r="K95" s="6">
        <v>276.06</v>
      </c>
      <c r="L95" s="6">
        <v>275.38</v>
      </c>
      <c r="M95" s="6">
        <v>200.19</v>
      </c>
      <c r="N95" s="18">
        <v>4443.1499999999996</v>
      </c>
      <c r="O95" s="6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</row>
    <row r="96" spans="1:27" hidden="1" x14ac:dyDescent="0.25">
      <c r="A96" s="13" t="s">
        <v>110</v>
      </c>
      <c r="B96" s="6"/>
      <c r="C96" s="6"/>
      <c r="D96" s="6"/>
      <c r="E96" s="6"/>
      <c r="F96" s="6">
        <v>150.22</v>
      </c>
      <c r="G96" s="6"/>
      <c r="H96" s="6"/>
      <c r="I96" s="6"/>
      <c r="J96" s="6"/>
      <c r="K96" s="6"/>
      <c r="L96" s="6"/>
      <c r="M96" s="6"/>
      <c r="N96" s="6">
        <v>150.22</v>
      </c>
      <c r="O96" s="6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</row>
    <row r="97" spans="1:27" x14ac:dyDescent="0.25">
      <c r="A97" s="13" t="s">
        <v>111</v>
      </c>
      <c r="B97" s="53">
        <v>257.54000000000002</v>
      </c>
      <c r="C97" s="53">
        <v>659.94</v>
      </c>
      <c r="D97" s="53">
        <v>808.54</v>
      </c>
      <c r="E97" s="53">
        <v>363.98</v>
      </c>
      <c r="F97" s="53">
        <v>2259.85</v>
      </c>
      <c r="G97" s="53">
        <v>245.29</v>
      </c>
      <c r="H97" s="53">
        <v>381.06</v>
      </c>
      <c r="I97" s="53">
        <v>420.11</v>
      </c>
      <c r="J97" s="53">
        <v>276.48</v>
      </c>
      <c r="K97" s="53">
        <v>276.06</v>
      </c>
      <c r="L97" s="53">
        <v>275.38</v>
      </c>
      <c r="M97" s="53">
        <v>200.19</v>
      </c>
      <c r="N97" s="53">
        <v>6424.42</v>
      </c>
      <c r="O97" s="6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</row>
    <row r="98" spans="1:27" x14ac:dyDescent="0.25">
      <c r="A98" s="13" t="s">
        <v>112</v>
      </c>
      <c r="B98" s="6">
        <v>100</v>
      </c>
      <c r="C98" s="6">
        <v>100</v>
      </c>
      <c r="D98" s="6">
        <v>310.24</v>
      </c>
      <c r="E98" s="6">
        <v>100</v>
      </c>
      <c r="F98" s="6">
        <v>100</v>
      </c>
      <c r="G98" s="6">
        <v>100</v>
      </c>
      <c r="H98" s="6">
        <v>100</v>
      </c>
      <c r="I98" s="6">
        <v>100</v>
      </c>
      <c r="J98" s="6">
        <v>100</v>
      </c>
      <c r="K98" s="6">
        <v>100</v>
      </c>
      <c r="L98" s="6">
        <v>100</v>
      </c>
      <c r="M98" s="6">
        <v>202.09</v>
      </c>
      <c r="N98" s="18">
        <v>1512.33</v>
      </c>
      <c r="O98" s="12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</row>
    <row r="99" spans="1:27" hidden="1" x14ac:dyDescent="0.25">
      <c r="A99" s="13" t="s">
        <v>113</v>
      </c>
      <c r="B99" s="6"/>
      <c r="C99" s="6"/>
      <c r="D99" s="6"/>
      <c r="E99" s="6"/>
      <c r="F99" s="6">
        <v>179.66</v>
      </c>
      <c r="G99" s="6"/>
      <c r="H99" s="6"/>
      <c r="I99" s="6"/>
      <c r="J99" s="6"/>
      <c r="K99" s="6"/>
      <c r="L99" s="6"/>
      <c r="M99" s="6"/>
      <c r="N99" s="6">
        <v>179.66</v>
      </c>
      <c r="O99" s="12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</row>
    <row r="100" spans="1:27" hidden="1" x14ac:dyDescent="0.25">
      <c r="A100" s="13" t="s">
        <v>114</v>
      </c>
      <c r="B100" s="6">
        <v>75.3</v>
      </c>
      <c r="C100" s="6">
        <v>22.85</v>
      </c>
      <c r="D100" s="6">
        <v>106.12</v>
      </c>
      <c r="E100" s="6">
        <v>107.83</v>
      </c>
      <c r="F100" s="6">
        <v>175.05</v>
      </c>
      <c r="G100" s="6">
        <v>90.05</v>
      </c>
      <c r="H100" s="6">
        <v>101.23</v>
      </c>
      <c r="I100" s="6">
        <v>136.94</v>
      </c>
      <c r="J100" s="6">
        <v>121.28</v>
      </c>
      <c r="K100" s="6">
        <v>181.91</v>
      </c>
      <c r="L100" s="6">
        <v>192.41</v>
      </c>
      <c r="M100" s="6">
        <v>148.4</v>
      </c>
      <c r="N100" s="18">
        <v>1459.33</v>
      </c>
      <c r="O100" s="12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</row>
    <row r="101" spans="1:27" hidden="1" x14ac:dyDescent="0.25">
      <c r="A101" s="13" t="s">
        <v>115</v>
      </c>
      <c r="B101" s="6">
        <v>428.76</v>
      </c>
      <c r="C101" s="6">
        <v>457.94</v>
      </c>
      <c r="D101" s="6">
        <v>505.56</v>
      </c>
      <c r="E101" s="6">
        <v>539.97</v>
      </c>
      <c r="F101" s="6">
        <v>497.88</v>
      </c>
      <c r="G101" s="6">
        <v>455.6</v>
      </c>
      <c r="H101" s="6">
        <v>447.19</v>
      </c>
      <c r="I101" s="6">
        <v>543.97</v>
      </c>
      <c r="J101" s="6">
        <v>559.33000000000004</v>
      </c>
      <c r="K101" s="6">
        <v>592.37</v>
      </c>
      <c r="L101" s="6">
        <v>574.14</v>
      </c>
      <c r="M101" s="6">
        <v>459.48</v>
      </c>
      <c r="N101" s="18">
        <v>6062.19</v>
      </c>
      <c r="O101" s="12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</row>
    <row r="102" spans="1:27" x14ac:dyDescent="0.25">
      <c r="A102" s="13" t="s">
        <v>116</v>
      </c>
      <c r="B102" s="53">
        <v>504.06</v>
      </c>
      <c r="C102" s="53">
        <v>480.79</v>
      </c>
      <c r="D102" s="53">
        <v>611.67999999999995</v>
      </c>
      <c r="E102" s="53">
        <v>647.79999999999995</v>
      </c>
      <c r="F102" s="53">
        <v>852.59</v>
      </c>
      <c r="G102" s="53">
        <v>545.65</v>
      </c>
      <c r="H102" s="53">
        <v>548.41999999999996</v>
      </c>
      <c r="I102" s="53">
        <v>680.91</v>
      </c>
      <c r="J102" s="53">
        <v>680.61</v>
      </c>
      <c r="K102" s="53">
        <v>774.28</v>
      </c>
      <c r="L102" s="53">
        <v>766.55</v>
      </c>
      <c r="M102" s="53">
        <v>607.88</v>
      </c>
      <c r="N102" s="53">
        <v>7701.18</v>
      </c>
      <c r="O102" s="12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</row>
    <row r="103" spans="1:27" hidden="1" x14ac:dyDescent="0.25">
      <c r="A103" s="13" t="s">
        <v>117</v>
      </c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>
        <v>0</v>
      </c>
      <c r="O103" s="6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</row>
    <row r="104" spans="1:27" hidden="1" x14ac:dyDescent="0.25">
      <c r="A104" s="13" t="s">
        <v>118</v>
      </c>
      <c r="B104" s="18">
        <v>1618.95</v>
      </c>
      <c r="C104" s="18">
        <v>1618.95</v>
      </c>
      <c r="D104" s="18">
        <v>1618.95</v>
      </c>
      <c r="E104" s="18">
        <v>1618.95</v>
      </c>
      <c r="F104" s="18">
        <v>1618.95</v>
      </c>
      <c r="G104" s="18">
        <v>1618.95</v>
      </c>
      <c r="H104" s="18">
        <v>1618.95</v>
      </c>
      <c r="I104" s="18">
        <v>2218.98</v>
      </c>
      <c r="J104" s="18">
        <v>1618.95</v>
      </c>
      <c r="K104" s="18">
        <v>1618.95</v>
      </c>
      <c r="L104" s="18">
        <v>1618.95</v>
      </c>
      <c r="M104" s="18">
        <v>2218.98</v>
      </c>
      <c r="N104" s="18">
        <v>20627.46</v>
      </c>
      <c r="O104" s="12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</row>
    <row r="105" spans="1:27" hidden="1" x14ac:dyDescent="0.25">
      <c r="A105" s="13" t="s">
        <v>119</v>
      </c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12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</row>
    <row r="106" spans="1:27" hidden="1" x14ac:dyDescent="0.25">
      <c r="A106" s="13" t="s">
        <v>120</v>
      </c>
      <c r="B106" s="18">
        <v>1400</v>
      </c>
      <c r="C106" s="18">
        <v>1400</v>
      </c>
      <c r="D106" s="18">
        <v>1400</v>
      </c>
      <c r="E106" s="18">
        <v>1900</v>
      </c>
      <c r="F106" s="18">
        <v>1400</v>
      </c>
      <c r="G106" s="18">
        <v>1400</v>
      </c>
      <c r="H106" s="18">
        <v>1400</v>
      </c>
      <c r="I106" s="18">
        <v>1400</v>
      </c>
      <c r="J106" s="18">
        <v>1581.37</v>
      </c>
      <c r="K106" s="18">
        <v>1400</v>
      </c>
      <c r="L106" s="18">
        <v>1400</v>
      </c>
      <c r="M106" s="18">
        <v>1400</v>
      </c>
      <c r="N106" s="18">
        <v>17481.37</v>
      </c>
      <c r="O106" s="12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</row>
    <row r="107" spans="1:27" hidden="1" x14ac:dyDescent="0.25">
      <c r="A107" s="13" t="s">
        <v>121</v>
      </c>
      <c r="B107" s="6"/>
      <c r="C107" s="6"/>
      <c r="D107" s="6"/>
      <c r="E107" s="6"/>
      <c r="F107" s="6">
        <v>50</v>
      </c>
      <c r="G107" s="6"/>
      <c r="H107" s="6"/>
      <c r="I107" s="6">
        <v>50</v>
      </c>
      <c r="J107" s="6">
        <v>16</v>
      </c>
      <c r="K107" s="6"/>
      <c r="L107" s="6"/>
      <c r="M107" s="6"/>
      <c r="N107" s="6">
        <v>116</v>
      </c>
      <c r="O107" s="12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</row>
    <row r="108" spans="1:27" hidden="1" x14ac:dyDescent="0.25">
      <c r="A108" s="13" t="s">
        <v>122</v>
      </c>
      <c r="B108" s="6">
        <v>178.33</v>
      </c>
      <c r="C108" s="6">
        <v>178.33</v>
      </c>
      <c r="D108" s="6">
        <v>178.33</v>
      </c>
      <c r="E108" s="6">
        <v>178.33</v>
      </c>
      <c r="F108" s="6">
        <v>178.33</v>
      </c>
      <c r="G108" s="6">
        <v>178.33</v>
      </c>
      <c r="H108" s="6">
        <v>178.33</v>
      </c>
      <c r="I108" s="6">
        <v>178.33</v>
      </c>
      <c r="J108" s="6">
        <v>178.33</v>
      </c>
      <c r="K108" s="6">
        <v>178.33</v>
      </c>
      <c r="L108" s="6">
        <v>178.33</v>
      </c>
      <c r="M108" s="6">
        <v>178.33</v>
      </c>
      <c r="N108" s="18">
        <v>2139.96</v>
      </c>
      <c r="O108" s="12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</row>
    <row r="109" spans="1:27" x14ac:dyDescent="0.25">
      <c r="A109" s="13" t="s">
        <v>123</v>
      </c>
      <c r="B109" s="53">
        <v>3197.28</v>
      </c>
      <c r="C109" s="53">
        <v>3197.28</v>
      </c>
      <c r="D109" s="53">
        <v>3197.28</v>
      </c>
      <c r="E109" s="53">
        <v>3697.28</v>
      </c>
      <c r="F109" s="53">
        <v>3247.28</v>
      </c>
      <c r="G109" s="53">
        <v>3197.28</v>
      </c>
      <c r="H109" s="53">
        <v>3197.28</v>
      </c>
      <c r="I109" s="53">
        <v>3847.31</v>
      </c>
      <c r="J109" s="53">
        <v>3394.65</v>
      </c>
      <c r="K109" s="53">
        <v>3197.28</v>
      </c>
      <c r="L109" s="53">
        <v>3197.28</v>
      </c>
      <c r="M109" s="53">
        <v>3797.31</v>
      </c>
      <c r="N109" s="53">
        <v>40364.79</v>
      </c>
      <c r="O109" s="12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</row>
    <row r="110" spans="1:27" hidden="1" x14ac:dyDescent="0.25">
      <c r="A110" s="13" t="s">
        <v>124</v>
      </c>
      <c r="B110" s="6"/>
      <c r="C110" s="6"/>
      <c r="D110" s="6"/>
      <c r="E110" s="6"/>
      <c r="F110" s="6"/>
      <c r="G110" s="6">
        <v>120</v>
      </c>
      <c r="H110" s="6"/>
      <c r="I110" s="6"/>
      <c r="J110" s="6">
        <v>54</v>
      </c>
      <c r="K110" s="6"/>
      <c r="L110" s="6"/>
      <c r="M110" s="6"/>
      <c r="N110" s="6">
        <v>174</v>
      </c>
      <c r="O110" s="12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</row>
    <row r="111" spans="1:27" hidden="1" x14ac:dyDescent="0.25">
      <c r="A111" s="13" t="s">
        <v>125</v>
      </c>
      <c r="B111" s="6"/>
      <c r="C111" s="6"/>
      <c r="D111" s="18">
        <v>1374.46</v>
      </c>
      <c r="E111" s="6"/>
      <c r="F111" s="6"/>
      <c r="G111" s="6"/>
      <c r="H111" s="6"/>
      <c r="I111" s="6">
        <v>226.99</v>
      </c>
      <c r="J111" s="6"/>
      <c r="K111" s="6"/>
      <c r="L111" s="6"/>
      <c r="M111" s="6"/>
      <c r="N111" s="18">
        <v>1601.45</v>
      </c>
      <c r="O111" s="12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</row>
    <row r="112" spans="1:27" hidden="1" x14ac:dyDescent="0.25">
      <c r="A112" s="13" t="s">
        <v>126</v>
      </c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>
        <v>0</v>
      </c>
      <c r="O112" s="12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</row>
    <row r="113" spans="1:27" hidden="1" x14ac:dyDescent="0.25">
      <c r="A113" s="13" t="s">
        <v>127</v>
      </c>
      <c r="B113" s="6">
        <v>935</v>
      </c>
      <c r="C113" s="6">
        <v>935</v>
      </c>
      <c r="D113" s="6">
        <v>935</v>
      </c>
      <c r="E113" s="6">
        <v>935</v>
      </c>
      <c r="F113" s="6">
        <v>935</v>
      </c>
      <c r="G113" s="6">
        <v>935</v>
      </c>
      <c r="H113" s="6">
        <v>935</v>
      </c>
      <c r="I113" s="6">
        <v>935</v>
      </c>
      <c r="J113" s="6">
        <v>946.9</v>
      </c>
      <c r="K113" s="6">
        <v>935</v>
      </c>
      <c r="L113" s="6">
        <v>935</v>
      </c>
      <c r="M113" s="6">
        <v>935</v>
      </c>
      <c r="N113" s="18">
        <v>11231.9</v>
      </c>
      <c r="O113" s="12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</row>
    <row r="114" spans="1:27" hidden="1" x14ac:dyDescent="0.25">
      <c r="A114" s="13" t="s">
        <v>128</v>
      </c>
      <c r="B114" s="6">
        <v>134.32</v>
      </c>
      <c r="C114" s="6">
        <v>47.81</v>
      </c>
      <c r="D114" s="6">
        <v>116.59</v>
      </c>
      <c r="E114" s="6">
        <v>66.67</v>
      </c>
      <c r="F114" s="6">
        <v>60.27</v>
      </c>
      <c r="G114" s="6">
        <v>71.03</v>
      </c>
      <c r="H114" s="6">
        <v>68.11</v>
      </c>
      <c r="I114" s="6">
        <v>95.96</v>
      </c>
      <c r="J114" s="6">
        <v>364.51</v>
      </c>
      <c r="K114" s="6">
        <v>10.66</v>
      </c>
      <c r="L114" s="6">
        <v>75.95</v>
      </c>
      <c r="M114" s="6">
        <v>74.930000000000007</v>
      </c>
      <c r="N114" s="18">
        <v>1186.81</v>
      </c>
      <c r="O114" s="12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</row>
    <row r="115" spans="1:27" hidden="1" x14ac:dyDescent="0.25">
      <c r="A115" s="13" t="s">
        <v>129</v>
      </c>
      <c r="B115" s="6"/>
      <c r="C115" s="6"/>
      <c r="D115" s="6"/>
      <c r="E115" s="6"/>
      <c r="F115" s="6">
        <v>66.22</v>
      </c>
      <c r="G115" s="6"/>
      <c r="H115" s="6"/>
      <c r="I115" s="6"/>
      <c r="J115" s="6"/>
      <c r="K115" s="6"/>
      <c r="L115" s="6"/>
      <c r="M115" s="6"/>
      <c r="N115" s="6">
        <v>66.22</v>
      </c>
      <c r="O115" s="12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</row>
    <row r="116" spans="1:27" hidden="1" x14ac:dyDescent="0.25">
      <c r="A116" s="13" t="s">
        <v>130</v>
      </c>
      <c r="B116" s="6"/>
      <c r="C116" s="6"/>
      <c r="D116" s="6"/>
      <c r="E116" s="6">
        <v>48.45</v>
      </c>
      <c r="F116" s="6"/>
      <c r="G116" s="6"/>
      <c r="H116" s="6">
        <v>110.55</v>
      </c>
      <c r="I116" s="6"/>
      <c r="J116" s="6"/>
      <c r="K116" s="6">
        <v>109.88</v>
      </c>
      <c r="L116" s="6"/>
      <c r="M116" s="6"/>
      <c r="N116" s="6">
        <v>268.88</v>
      </c>
      <c r="O116" s="12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</row>
    <row r="117" spans="1:27" x14ac:dyDescent="0.25">
      <c r="A117" s="13" t="s">
        <v>131</v>
      </c>
      <c r="B117" s="53">
        <v>134.32</v>
      </c>
      <c r="C117" s="53">
        <v>47.81</v>
      </c>
      <c r="D117" s="53">
        <v>116.59</v>
      </c>
      <c r="E117" s="53">
        <v>115.12</v>
      </c>
      <c r="F117" s="53">
        <v>126.49</v>
      </c>
      <c r="G117" s="53">
        <v>71.03</v>
      </c>
      <c r="H117" s="53">
        <v>178.66</v>
      </c>
      <c r="I117" s="53">
        <v>95.96</v>
      </c>
      <c r="J117" s="53">
        <v>364.51</v>
      </c>
      <c r="K117" s="53">
        <v>120.54</v>
      </c>
      <c r="L117" s="53">
        <v>75.95</v>
      </c>
      <c r="M117" s="53">
        <v>74.930000000000007</v>
      </c>
      <c r="N117" s="53">
        <v>1521.91</v>
      </c>
      <c r="O117" s="12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</row>
    <row r="118" spans="1:27" hidden="1" x14ac:dyDescent="0.25">
      <c r="A118" s="13" t="s">
        <v>132</v>
      </c>
      <c r="B118" s="6"/>
      <c r="C118" s="6"/>
      <c r="D118" s="6"/>
      <c r="E118" s="6">
        <v>30</v>
      </c>
      <c r="F118" s="6"/>
      <c r="G118" s="6"/>
      <c r="H118" s="6"/>
      <c r="I118" s="6"/>
      <c r="J118" s="6"/>
      <c r="K118" s="6"/>
      <c r="L118" s="6">
        <v>31.97</v>
      </c>
      <c r="M118" s="6"/>
      <c r="N118" s="6">
        <v>61.97</v>
      </c>
      <c r="O118" s="12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</row>
    <row r="119" spans="1:27" hidden="1" x14ac:dyDescent="0.25">
      <c r="A119" s="13" t="s">
        <v>133</v>
      </c>
      <c r="B119" s="6"/>
      <c r="C119" s="6">
        <v>323.98</v>
      </c>
      <c r="D119" s="6"/>
      <c r="E119" s="6"/>
      <c r="F119" s="6"/>
      <c r="G119" s="6"/>
      <c r="H119" s="6">
        <v>369.19</v>
      </c>
      <c r="I119" s="6"/>
      <c r="J119" s="6"/>
      <c r="K119" s="12"/>
      <c r="L119" s="6"/>
      <c r="M119" s="6">
        <v>975.53</v>
      </c>
      <c r="N119" s="18">
        <v>1668.7</v>
      </c>
      <c r="O119" s="12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</row>
    <row r="120" spans="1:27" hidden="1" x14ac:dyDescent="0.25">
      <c r="A120" s="13" t="s">
        <v>134</v>
      </c>
      <c r="B120" s="6"/>
      <c r="C120" s="6"/>
      <c r="D120" s="6"/>
      <c r="E120" s="6"/>
      <c r="F120" s="6"/>
      <c r="G120" s="6"/>
      <c r="H120" s="6"/>
      <c r="I120" s="6"/>
      <c r="J120" s="6"/>
      <c r="K120" s="12"/>
      <c r="L120" s="6"/>
      <c r="M120" s="6">
        <v>581.70000000000005</v>
      </c>
      <c r="N120" s="6">
        <v>581.70000000000005</v>
      </c>
      <c r="O120" s="12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</row>
    <row r="121" spans="1:27" x14ac:dyDescent="0.25">
      <c r="A121" s="13" t="s">
        <v>135</v>
      </c>
      <c r="B121" s="53">
        <v>0</v>
      </c>
      <c r="C121" s="53">
        <v>323.98</v>
      </c>
      <c r="D121" s="53">
        <v>0</v>
      </c>
      <c r="E121" s="53">
        <v>0</v>
      </c>
      <c r="F121" s="53">
        <v>0</v>
      </c>
      <c r="G121" s="53">
        <v>0</v>
      </c>
      <c r="H121" s="53">
        <v>369.19</v>
      </c>
      <c r="I121" s="53">
        <v>0</v>
      </c>
      <c r="J121" s="53">
        <v>0</v>
      </c>
      <c r="K121" s="53">
        <v>0</v>
      </c>
      <c r="L121" s="53">
        <v>0</v>
      </c>
      <c r="M121" s="53">
        <v>1557.23</v>
      </c>
      <c r="N121" s="53">
        <v>2250.4</v>
      </c>
      <c r="O121" s="12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</row>
    <row r="122" spans="1:27" hidden="1" x14ac:dyDescent="0.25">
      <c r="A122" s="13" t="s">
        <v>136</v>
      </c>
      <c r="B122" s="6">
        <v>12.57</v>
      </c>
      <c r="C122" s="6">
        <v>15.01</v>
      </c>
      <c r="D122" s="6">
        <v>19.2</v>
      </c>
      <c r="E122" s="6">
        <v>22.22</v>
      </c>
      <c r="F122" s="6"/>
      <c r="G122" s="6">
        <v>17.87</v>
      </c>
      <c r="H122" s="6">
        <v>27.7</v>
      </c>
      <c r="I122" s="6">
        <v>31.98</v>
      </c>
      <c r="J122" s="6">
        <v>25.58</v>
      </c>
      <c r="K122" s="6">
        <v>36.880000000000003</v>
      </c>
      <c r="L122" s="6">
        <v>25.39</v>
      </c>
      <c r="M122" s="6">
        <v>24.97</v>
      </c>
      <c r="N122" s="6">
        <v>259.37</v>
      </c>
      <c r="O122" s="12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</row>
    <row r="123" spans="1:27" hidden="1" x14ac:dyDescent="0.25">
      <c r="A123" s="13" t="s">
        <v>137</v>
      </c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>
        <v>0</v>
      </c>
      <c r="O123" s="12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</row>
    <row r="124" spans="1:27" hidden="1" x14ac:dyDescent="0.25">
      <c r="A124" s="13" t="s">
        <v>138</v>
      </c>
      <c r="B124" s="6"/>
      <c r="C124" s="6"/>
      <c r="D124" s="6"/>
      <c r="E124" s="6">
        <v>690.05</v>
      </c>
      <c r="F124" s="6"/>
      <c r="G124" s="6"/>
      <c r="H124" s="6"/>
      <c r="I124" s="6">
        <v>36.869999999999997</v>
      </c>
      <c r="J124" s="6"/>
      <c r="K124" s="6"/>
      <c r="L124" s="6"/>
      <c r="M124" s="6"/>
      <c r="N124" s="6">
        <v>726.92</v>
      </c>
      <c r="O124" s="12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</row>
    <row r="125" spans="1:27" hidden="1" x14ac:dyDescent="0.25">
      <c r="A125" s="13" t="s">
        <v>139</v>
      </c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>
        <v>0</v>
      </c>
      <c r="O125" s="12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</row>
    <row r="126" spans="1:27" hidden="1" x14ac:dyDescent="0.25">
      <c r="A126" s="13" t="s">
        <v>140</v>
      </c>
      <c r="B126" s="6">
        <v>89.6</v>
      </c>
      <c r="C126" s="6">
        <v>89.6</v>
      </c>
      <c r="D126" s="6">
        <v>89.6</v>
      </c>
      <c r="E126" s="6">
        <v>89.6</v>
      </c>
      <c r="F126" s="6">
        <v>89.6</v>
      </c>
      <c r="G126" s="6">
        <v>89.6</v>
      </c>
      <c r="H126" s="6">
        <v>89.6</v>
      </c>
      <c r="I126" s="6">
        <v>89.6</v>
      </c>
      <c r="J126" s="6">
        <v>89.6</v>
      </c>
      <c r="K126" s="6">
        <v>109.52</v>
      </c>
      <c r="L126" s="6">
        <v>89.6</v>
      </c>
      <c r="M126" s="6">
        <v>89.6</v>
      </c>
      <c r="N126" s="18">
        <v>1095.1199999999999</v>
      </c>
      <c r="O126" s="12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</row>
    <row r="127" spans="1:27" hidden="1" x14ac:dyDescent="0.25">
      <c r="A127" s="13" t="s">
        <v>141</v>
      </c>
      <c r="B127" s="6">
        <v>133.56</v>
      </c>
      <c r="C127" s="6">
        <v>136.46</v>
      </c>
      <c r="D127" s="6">
        <v>138.44</v>
      </c>
      <c r="E127" s="6">
        <v>115.13</v>
      </c>
      <c r="F127" s="6">
        <v>147.55000000000001</v>
      </c>
      <c r="G127" s="6">
        <v>163.69999999999999</v>
      </c>
      <c r="H127" s="6">
        <v>146.24</v>
      </c>
      <c r="I127" s="6">
        <v>193.22</v>
      </c>
      <c r="J127" s="6">
        <v>159.01</v>
      </c>
      <c r="K127" s="6">
        <v>175.97</v>
      </c>
      <c r="L127" s="6">
        <v>182.3</v>
      </c>
      <c r="M127" s="6">
        <v>151.06</v>
      </c>
      <c r="N127" s="18">
        <v>1842.64</v>
      </c>
      <c r="O127" s="12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</row>
    <row r="128" spans="1:27" hidden="1" x14ac:dyDescent="0.25">
      <c r="A128" s="13" t="s">
        <v>142</v>
      </c>
      <c r="B128" s="6">
        <v>153.52000000000001</v>
      </c>
      <c r="C128" s="6">
        <v>159.55000000000001</v>
      </c>
      <c r="D128" s="6">
        <v>153.52000000000001</v>
      </c>
      <c r="E128" s="6">
        <v>193.12</v>
      </c>
      <c r="F128" s="6">
        <v>163.12</v>
      </c>
      <c r="G128" s="6">
        <v>153.52000000000001</v>
      </c>
      <c r="H128" s="6">
        <v>168.14</v>
      </c>
      <c r="I128" s="6">
        <v>153.52000000000001</v>
      </c>
      <c r="J128" s="6">
        <v>153.52000000000001</v>
      </c>
      <c r="K128" s="6">
        <v>203.7</v>
      </c>
      <c r="L128" s="6">
        <v>153.52000000000001</v>
      </c>
      <c r="M128" s="6">
        <v>153.51</v>
      </c>
      <c r="N128" s="18">
        <v>1962.26</v>
      </c>
      <c r="O128" s="12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</row>
    <row r="129" spans="1:27" hidden="1" x14ac:dyDescent="0.25">
      <c r="A129" s="13" t="s">
        <v>143</v>
      </c>
      <c r="B129" s="6">
        <v>44.8</v>
      </c>
      <c r="C129" s="6">
        <v>44.8</v>
      </c>
      <c r="D129" s="6">
        <v>94.25</v>
      </c>
      <c r="E129" s="6">
        <v>48.17</v>
      </c>
      <c r="F129" s="6">
        <v>44.8</v>
      </c>
      <c r="G129" s="6">
        <v>44.8</v>
      </c>
      <c r="H129" s="6">
        <v>44.8</v>
      </c>
      <c r="I129" s="6">
        <v>44.8</v>
      </c>
      <c r="J129" s="6">
        <v>44.8</v>
      </c>
      <c r="K129" s="6">
        <v>44.8</v>
      </c>
      <c r="L129" s="6">
        <v>44.8</v>
      </c>
      <c r="M129" s="6">
        <v>44.79</v>
      </c>
      <c r="N129" s="6">
        <v>590.41</v>
      </c>
      <c r="O129" s="12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</row>
    <row r="130" spans="1:27" x14ac:dyDescent="0.25">
      <c r="A130" s="13" t="s">
        <v>144</v>
      </c>
      <c r="B130" s="53">
        <v>421.48</v>
      </c>
      <c r="C130" s="53">
        <v>430.41</v>
      </c>
      <c r="D130" s="53">
        <v>475.81</v>
      </c>
      <c r="E130" s="53">
        <v>446.02</v>
      </c>
      <c r="F130" s="53">
        <v>445.07</v>
      </c>
      <c r="G130" s="53">
        <v>451.62</v>
      </c>
      <c r="H130" s="53">
        <v>448.78</v>
      </c>
      <c r="I130" s="53">
        <v>481.14</v>
      </c>
      <c r="J130" s="53">
        <v>446.93</v>
      </c>
      <c r="K130" s="53">
        <v>533.99</v>
      </c>
      <c r="L130" s="53">
        <v>470.22</v>
      </c>
      <c r="M130" s="53">
        <v>438.96</v>
      </c>
      <c r="N130" s="53">
        <v>5490.43</v>
      </c>
      <c r="O130" s="12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</row>
    <row r="131" spans="1:27" x14ac:dyDescent="0.25">
      <c r="A131" s="13" t="s">
        <v>145</v>
      </c>
      <c r="B131" s="53">
        <v>7945.55</v>
      </c>
      <c r="C131" s="53">
        <v>10259.73</v>
      </c>
      <c r="D131" s="53">
        <v>10811.51</v>
      </c>
      <c r="E131" s="53">
        <v>9911.74</v>
      </c>
      <c r="F131" s="53">
        <v>10729.71</v>
      </c>
      <c r="G131" s="53">
        <v>8421.2199999999993</v>
      </c>
      <c r="H131" s="53">
        <v>8696.2000000000007</v>
      </c>
      <c r="I131" s="53">
        <v>10320.99</v>
      </c>
      <c r="J131" s="53">
        <v>9031.51</v>
      </c>
      <c r="K131" s="53">
        <v>8619.5499999999993</v>
      </c>
      <c r="L131" s="53">
        <v>8369.4500000000007</v>
      </c>
      <c r="M131" s="53">
        <v>12658.85</v>
      </c>
      <c r="N131" s="53">
        <v>115775.98</v>
      </c>
      <c r="O131" s="12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</row>
    <row r="132" spans="1:27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2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</row>
    <row r="133" spans="1:27" hidden="1" x14ac:dyDescent="0.25">
      <c r="A133" s="13" t="s">
        <v>146</v>
      </c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2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</row>
    <row r="134" spans="1:27" hidden="1" x14ac:dyDescent="0.25">
      <c r="A134" s="13" t="s">
        <v>147</v>
      </c>
      <c r="B134" s="6">
        <v>4.12</v>
      </c>
      <c r="C134" s="6">
        <v>4.2</v>
      </c>
      <c r="D134" s="6">
        <v>4.8899999999999997</v>
      </c>
      <c r="E134" s="6">
        <v>4.18</v>
      </c>
      <c r="F134" s="6">
        <v>1.87</v>
      </c>
      <c r="G134" s="6">
        <v>1.56</v>
      </c>
      <c r="H134" s="6">
        <v>1.41</v>
      </c>
      <c r="I134" s="6">
        <v>4.58</v>
      </c>
      <c r="J134" s="6">
        <v>3.44</v>
      </c>
      <c r="K134" s="6">
        <v>5.41</v>
      </c>
      <c r="L134" s="6">
        <v>8.57</v>
      </c>
      <c r="M134" s="6">
        <v>5.66</v>
      </c>
      <c r="N134" s="6">
        <v>49.89</v>
      </c>
      <c r="O134" s="12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</row>
    <row r="135" spans="1:27" hidden="1" x14ac:dyDescent="0.25">
      <c r="A135" s="13" t="s">
        <v>148</v>
      </c>
      <c r="B135" s="53">
        <v>4.12</v>
      </c>
      <c r="C135" s="53">
        <v>4.2</v>
      </c>
      <c r="D135" s="53">
        <v>4.8899999999999997</v>
      </c>
      <c r="E135" s="53">
        <v>4.18</v>
      </c>
      <c r="F135" s="53">
        <v>1.87</v>
      </c>
      <c r="G135" s="53">
        <v>1.56</v>
      </c>
      <c r="H135" s="53">
        <v>1.41</v>
      </c>
      <c r="I135" s="53">
        <v>4.58</v>
      </c>
      <c r="J135" s="53">
        <v>3.44</v>
      </c>
      <c r="K135" s="53">
        <v>5.41</v>
      </c>
      <c r="L135" s="53">
        <v>8.57</v>
      </c>
      <c r="M135" s="53">
        <v>5.66</v>
      </c>
      <c r="N135" s="53">
        <v>49.89</v>
      </c>
      <c r="O135" s="12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</row>
    <row r="136" spans="1:27" hidden="1" x14ac:dyDescent="0.25">
      <c r="A136" s="13" t="s">
        <v>149</v>
      </c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12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</row>
    <row r="137" spans="1:27" hidden="1" x14ac:dyDescent="0.25">
      <c r="A137" s="13" t="s">
        <v>150</v>
      </c>
      <c r="B137" s="6"/>
      <c r="C137" s="6"/>
      <c r="D137" s="6"/>
      <c r="E137" s="6"/>
      <c r="F137" s="6"/>
      <c r="G137" s="6">
        <v>150</v>
      </c>
      <c r="H137" s="6"/>
      <c r="I137" s="6">
        <v>53.89</v>
      </c>
      <c r="J137" s="6">
        <v>48.14</v>
      </c>
      <c r="K137" s="6"/>
      <c r="L137" s="6"/>
      <c r="M137" s="6"/>
      <c r="N137" s="6">
        <v>252.03</v>
      </c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</row>
    <row r="138" spans="1:27" hidden="1" x14ac:dyDescent="0.25">
      <c r="A138" s="13" t="s">
        <v>151</v>
      </c>
      <c r="B138" s="6"/>
      <c r="C138" s="6"/>
      <c r="D138" s="6"/>
      <c r="E138" s="6">
        <v>-0.02</v>
      </c>
      <c r="F138" s="6"/>
      <c r="G138" s="6"/>
      <c r="H138" s="6"/>
      <c r="I138" s="6"/>
      <c r="J138" s="6"/>
      <c r="K138" s="6"/>
      <c r="L138" s="6"/>
      <c r="M138" s="6"/>
      <c r="N138" s="6">
        <v>-0.02</v>
      </c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</row>
    <row r="139" spans="1:27" hidden="1" x14ac:dyDescent="0.25">
      <c r="A139" s="13" t="s">
        <v>152</v>
      </c>
      <c r="B139" s="53">
        <v>0</v>
      </c>
      <c r="C139" s="53">
        <v>0</v>
      </c>
      <c r="D139" s="53">
        <v>0</v>
      </c>
      <c r="E139" s="54">
        <v>-0.02</v>
      </c>
      <c r="F139" s="53">
        <v>0</v>
      </c>
      <c r="G139" s="53">
        <v>150</v>
      </c>
      <c r="H139" s="53">
        <v>0</v>
      </c>
      <c r="I139" s="53">
        <v>53.89</v>
      </c>
      <c r="J139" s="53">
        <v>48.14</v>
      </c>
      <c r="K139" s="53">
        <v>0</v>
      </c>
      <c r="L139" s="53">
        <v>0</v>
      </c>
      <c r="M139" s="53">
        <v>0</v>
      </c>
      <c r="N139" s="53">
        <v>252.01</v>
      </c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/>
    </row>
    <row r="140" spans="1:27" x14ac:dyDescent="0.25">
      <c r="A140" s="13" t="s">
        <v>153</v>
      </c>
      <c r="B140" s="121">
        <f>B68-B131</f>
        <v>2880.5155000000004</v>
      </c>
      <c r="C140" s="121">
        <f t="shared" ref="C140:N140" si="31">C68-C131</f>
        <v>4610.2645000000011</v>
      </c>
      <c r="D140" s="121">
        <f t="shared" si="31"/>
        <v>2104.2894999999971</v>
      </c>
      <c r="E140" s="121">
        <f t="shared" si="31"/>
        <v>4334.402500000002</v>
      </c>
      <c r="F140" s="121">
        <f t="shared" si="31"/>
        <v>7154.3799999999974</v>
      </c>
      <c r="G140" s="121">
        <f t="shared" si="31"/>
        <v>5581.4740000000002</v>
      </c>
      <c r="H140" s="121">
        <f t="shared" si="31"/>
        <v>3816.5620000000054</v>
      </c>
      <c r="I140" s="121">
        <f t="shared" si="31"/>
        <v>3701.7895000000044</v>
      </c>
      <c r="J140" s="121">
        <f t="shared" si="31"/>
        <v>9105.1925000000028</v>
      </c>
      <c r="K140" s="121">
        <f t="shared" si="31"/>
        <v>8523.7200000000048</v>
      </c>
      <c r="L140" s="121">
        <f t="shared" si="31"/>
        <v>9357.6929999999993</v>
      </c>
      <c r="M140" s="121">
        <f t="shared" si="31"/>
        <v>4566.5635000000057</v>
      </c>
      <c r="N140" s="121">
        <f t="shared" si="31"/>
        <v>65737.876500000028</v>
      </c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</row>
    <row r="141" spans="1:27" ht="23.25" x14ac:dyDescent="0.35">
      <c r="A141" s="41" t="s">
        <v>154</v>
      </c>
      <c r="B141" s="119">
        <f>B140/B22</f>
        <v>0.10475072053689104</v>
      </c>
      <c r="C141" s="119">
        <f t="shared" ref="C141:M141" si="32">C140/C22</f>
        <v>0.13900367131051491</v>
      </c>
      <c r="D141" s="119">
        <f t="shared" si="32"/>
        <v>7.1359787838285546E-2</v>
      </c>
      <c r="E141" s="119">
        <f t="shared" si="32"/>
        <v>0.14036394571619248</v>
      </c>
      <c r="F141" s="119">
        <f t="shared" si="32"/>
        <v>0.18670293706169608</v>
      </c>
      <c r="G141" s="119">
        <f t="shared" si="32"/>
        <v>0.17452662929489476</v>
      </c>
      <c r="H141" s="119">
        <f t="shared" si="32"/>
        <v>0.12519963054489397</v>
      </c>
      <c r="I141" s="119">
        <f t="shared" si="32"/>
        <v>9.8501938997995087E-2</v>
      </c>
      <c r="J141" s="119">
        <f t="shared" si="32"/>
        <v>0.22596331890040217</v>
      </c>
      <c r="K141" s="119">
        <f t="shared" si="32"/>
        <v>0.19536432265326495</v>
      </c>
      <c r="L141" s="119">
        <f t="shared" si="32"/>
        <v>0.20295318500665932</v>
      </c>
      <c r="M141" s="119">
        <f t="shared" si="32"/>
        <v>0.11345594230868553</v>
      </c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  <c r="AA141" s="38"/>
    </row>
    <row r="142" spans="1:27" ht="23.25" x14ac:dyDescent="0.35">
      <c r="A142" s="13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119">
        <f>N140/N22</f>
        <v>0.15299243939607965</v>
      </c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</row>
    <row r="143" spans="1:27" x14ac:dyDescent="0.25">
      <c r="A143" s="55"/>
      <c r="B143" s="56" t="s">
        <v>28</v>
      </c>
      <c r="C143" s="56" t="s">
        <v>28</v>
      </c>
      <c r="D143" s="56" t="s">
        <v>28</v>
      </c>
      <c r="E143" s="56" t="s">
        <v>28</v>
      </c>
      <c r="F143" s="56" t="s">
        <v>28</v>
      </c>
      <c r="G143" s="56" t="s">
        <v>28</v>
      </c>
      <c r="H143" s="56" t="s">
        <v>28</v>
      </c>
      <c r="I143" s="56" t="s">
        <v>28</v>
      </c>
      <c r="J143" s="56" t="s">
        <v>28</v>
      </c>
      <c r="K143" s="56" t="s">
        <v>28</v>
      </c>
      <c r="L143" s="56" t="s">
        <v>28</v>
      </c>
      <c r="M143" s="56" t="s">
        <v>28</v>
      </c>
      <c r="N143" s="56" t="s">
        <v>28</v>
      </c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</row>
    <row r="144" spans="1:27" x14ac:dyDescent="0.25">
      <c r="A144" s="55"/>
      <c r="B144" s="56" t="s">
        <v>28</v>
      </c>
      <c r="C144" s="56" t="s">
        <v>28</v>
      </c>
      <c r="D144" s="56" t="s">
        <v>28</v>
      </c>
      <c r="E144" s="56" t="s">
        <v>28</v>
      </c>
      <c r="F144" s="56" t="s">
        <v>28</v>
      </c>
      <c r="G144" s="56" t="s">
        <v>28</v>
      </c>
      <c r="H144" s="56" t="s">
        <v>28</v>
      </c>
      <c r="I144" s="56" t="s">
        <v>28</v>
      </c>
      <c r="J144" s="56" t="s">
        <v>28</v>
      </c>
      <c r="K144" s="56" t="s">
        <v>28</v>
      </c>
      <c r="L144" s="56" t="s">
        <v>28</v>
      </c>
      <c r="M144" s="56" t="s">
        <v>28</v>
      </c>
      <c r="N144" s="56" t="s">
        <v>28</v>
      </c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  <c r="AA144" s="52"/>
    </row>
    <row r="145" spans="1:27" x14ac:dyDescent="0.25">
      <c r="A145" s="55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52"/>
      <c r="Z145" s="52"/>
      <c r="AA145" s="52"/>
    </row>
    <row r="146" spans="1:27" x14ac:dyDescent="0.25">
      <c r="A146" s="38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52"/>
      <c r="AA146" s="52"/>
    </row>
    <row r="147" spans="1:27" x14ac:dyDescent="0.25">
      <c r="A147" s="38"/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  <c r="AA147" s="52"/>
    </row>
    <row r="148" spans="1:27" x14ac:dyDescent="0.25">
      <c r="A148" s="184"/>
      <c r="B148" s="184"/>
      <c r="C148" s="184"/>
      <c r="D148" s="184"/>
      <c r="E148" s="184"/>
      <c r="F148" s="184"/>
      <c r="G148" s="184"/>
      <c r="H148" s="184"/>
      <c r="I148" s="184"/>
      <c r="J148" s="184"/>
      <c r="K148" s="184"/>
      <c r="L148" s="184"/>
      <c r="M148" s="184"/>
      <c r="N148" s="184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  <c r="AA148" s="52"/>
    </row>
    <row r="149" spans="1:27" x14ac:dyDescent="0.25">
      <c r="A149" s="38"/>
      <c r="B149" s="38"/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  <c r="AA149" s="52"/>
    </row>
    <row r="150" spans="1:27" ht="23.25" x14ac:dyDescent="0.35">
      <c r="A150" s="106" t="s">
        <v>214</v>
      </c>
      <c r="B150" s="173"/>
      <c r="C150" s="52"/>
      <c r="D150" s="52"/>
      <c r="E150" s="52"/>
      <c r="F150" s="52"/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2"/>
      <c r="Y150" s="52"/>
      <c r="Z150" s="52"/>
      <c r="AA150" s="52"/>
    </row>
    <row r="151" spans="1:27" x14ac:dyDescent="0.25">
      <c r="A151" s="52"/>
      <c r="B151" s="52"/>
      <c r="C151" s="52"/>
      <c r="D151" s="52"/>
      <c r="E151" s="52"/>
      <c r="F151" s="52"/>
      <c r="G151" s="52"/>
      <c r="H151" s="52"/>
      <c r="I151" s="52"/>
      <c r="J151" s="52"/>
      <c r="K151" s="52"/>
      <c r="L151" s="52"/>
      <c r="M151" s="52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2"/>
      <c r="AA151" s="52"/>
    </row>
    <row r="152" spans="1:27" x14ac:dyDescent="0.25">
      <c r="A152" s="13" t="s">
        <v>155</v>
      </c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 t="s">
        <v>30</v>
      </c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52"/>
      <c r="AA152" s="52"/>
    </row>
    <row r="153" spans="1:27" x14ac:dyDescent="0.25">
      <c r="A153" s="13" t="s">
        <v>156</v>
      </c>
      <c r="B153" s="6">
        <v>300</v>
      </c>
      <c r="C153" s="6">
        <v>360</v>
      </c>
      <c r="D153" s="6">
        <v>420</v>
      </c>
      <c r="E153" s="6">
        <v>510</v>
      </c>
      <c r="F153" s="6">
        <v>540</v>
      </c>
      <c r="G153" s="6">
        <v>480</v>
      </c>
      <c r="H153" s="6">
        <v>300</v>
      </c>
      <c r="I153" s="6">
        <v>360</v>
      </c>
      <c r="J153" s="6">
        <v>510</v>
      </c>
      <c r="K153" s="6">
        <v>780</v>
      </c>
      <c r="L153" s="6">
        <v>780</v>
      </c>
      <c r="M153" s="6">
        <v>660</v>
      </c>
      <c r="N153" s="43">
        <v>6002</v>
      </c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  <c r="AA153" s="52"/>
    </row>
    <row r="154" spans="1:27" x14ac:dyDescent="0.25">
      <c r="A154" s="13" t="s">
        <v>157</v>
      </c>
      <c r="B154" s="6">
        <v>283</v>
      </c>
      <c r="C154" s="6">
        <v>404</v>
      </c>
      <c r="D154" s="6">
        <v>283</v>
      </c>
      <c r="E154" s="6">
        <v>242</v>
      </c>
      <c r="F154" s="6">
        <v>323</v>
      </c>
      <c r="G154" s="6">
        <v>283</v>
      </c>
      <c r="H154" s="6">
        <v>323</v>
      </c>
      <c r="I154" s="6">
        <v>404</v>
      </c>
      <c r="J154" s="6">
        <v>364</v>
      </c>
      <c r="K154" s="6">
        <v>404</v>
      </c>
      <c r="L154" s="6">
        <v>364</v>
      </c>
      <c r="M154" s="6">
        <v>364</v>
      </c>
      <c r="N154" s="43">
        <v>4039</v>
      </c>
      <c r="O154" s="52"/>
      <c r="P154" s="52"/>
      <c r="Q154" s="52"/>
      <c r="R154" s="52"/>
      <c r="S154" s="52"/>
      <c r="T154" s="52"/>
      <c r="U154" s="52"/>
      <c r="V154" s="52"/>
      <c r="W154" s="52"/>
      <c r="X154" s="52"/>
      <c r="Y154" s="52"/>
      <c r="Z154" s="52"/>
      <c r="AA154" s="52"/>
    </row>
    <row r="155" spans="1:27" x14ac:dyDescent="0.25">
      <c r="A155" s="13" t="s">
        <v>158</v>
      </c>
      <c r="B155" s="6">
        <v>151</v>
      </c>
      <c r="C155" s="6">
        <v>146</v>
      </c>
      <c r="D155" s="6">
        <v>212</v>
      </c>
      <c r="E155" s="6">
        <v>216</v>
      </c>
      <c r="F155" s="6">
        <v>303</v>
      </c>
      <c r="G155" s="6">
        <v>240</v>
      </c>
      <c r="H155" s="6">
        <v>202</v>
      </c>
      <c r="I155" s="6">
        <v>274</v>
      </c>
      <c r="J155" s="6">
        <v>243</v>
      </c>
      <c r="K155" s="6">
        <v>364</v>
      </c>
      <c r="L155" s="6">
        <v>385</v>
      </c>
      <c r="M155" s="6">
        <v>297</v>
      </c>
      <c r="N155" s="43">
        <v>3032</v>
      </c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  <c r="AA155" s="52"/>
    </row>
    <row r="156" spans="1:27" x14ac:dyDescent="0.25">
      <c r="A156" s="13" t="s">
        <v>159</v>
      </c>
      <c r="B156" s="46">
        <v>733</v>
      </c>
      <c r="C156" s="46">
        <v>910</v>
      </c>
      <c r="D156" s="46">
        <v>915</v>
      </c>
      <c r="E156" s="46">
        <v>968</v>
      </c>
      <c r="F156" s="46">
        <v>1166</v>
      </c>
      <c r="G156" s="46">
        <v>1003</v>
      </c>
      <c r="H156" s="46">
        <v>826</v>
      </c>
      <c r="I156" s="46">
        <v>1038</v>
      </c>
      <c r="J156" s="46">
        <v>1116</v>
      </c>
      <c r="K156" s="46">
        <v>1548</v>
      </c>
      <c r="L156" s="46">
        <v>1529</v>
      </c>
      <c r="M156" s="46">
        <v>1321</v>
      </c>
      <c r="N156" s="46">
        <v>13074</v>
      </c>
      <c r="O156" s="52"/>
      <c r="P156" s="52"/>
      <c r="Q156" s="52"/>
      <c r="R156" s="52"/>
      <c r="S156" s="52"/>
      <c r="T156" s="52"/>
      <c r="U156" s="52"/>
      <c r="V156" s="52"/>
      <c r="W156" s="52"/>
      <c r="X156" s="52"/>
      <c r="Y156" s="52"/>
      <c r="Z156" s="52"/>
      <c r="AA156" s="52"/>
    </row>
    <row r="157" spans="1:27" x14ac:dyDescent="0.25">
      <c r="A157" s="13" t="s">
        <v>160</v>
      </c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 t="s">
        <v>30</v>
      </c>
      <c r="O157" s="52"/>
      <c r="P157" s="52"/>
      <c r="Q157" s="52"/>
      <c r="R157" s="52"/>
      <c r="S157" s="52"/>
      <c r="T157" s="52"/>
      <c r="U157" s="52"/>
      <c r="V157" s="52"/>
      <c r="W157" s="52"/>
      <c r="X157" s="52"/>
      <c r="Y157" s="52"/>
      <c r="Z157" s="52"/>
      <c r="AA157" s="52"/>
    </row>
    <row r="158" spans="1:27" ht="31.5" x14ac:dyDescent="0.25">
      <c r="A158" s="13" t="s">
        <v>161</v>
      </c>
      <c r="B158" s="6">
        <v>1387</v>
      </c>
      <c r="C158" s="6">
        <v>1664</v>
      </c>
      <c r="D158" s="6">
        <v>1941</v>
      </c>
      <c r="E158" s="6">
        <v>2358</v>
      </c>
      <c r="F158" s="6">
        <v>2496</v>
      </c>
      <c r="G158" s="6">
        <v>2219</v>
      </c>
      <c r="H158" s="6">
        <v>1387</v>
      </c>
      <c r="I158" s="6">
        <v>1664</v>
      </c>
      <c r="J158" s="6">
        <v>2358</v>
      </c>
      <c r="K158" s="6">
        <v>3606</v>
      </c>
      <c r="L158" s="6">
        <v>3606</v>
      </c>
      <c r="M158" s="6">
        <v>3051</v>
      </c>
      <c r="N158" s="43">
        <v>27735</v>
      </c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  <c r="AA158" s="52"/>
    </row>
    <row r="159" spans="1:27" x14ac:dyDescent="0.25">
      <c r="A159" s="5" t="s">
        <v>162</v>
      </c>
      <c r="B159" s="6">
        <v>988</v>
      </c>
      <c r="C159" s="6">
        <v>936</v>
      </c>
      <c r="D159" s="6">
        <v>624</v>
      </c>
      <c r="E159" s="6">
        <v>364</v>
      </c>
      <c r="F159" s="6">
        <v>416</v>
      </c>
      <c r="G159" s="6">
        <v>1144</v>
      </c>
      <c r="H159" s="6">
        <v>1092</v>
      </c>
      <c r="I159" s="6">
        <v>1300</v>
      </c>
      <c r="J159" s="6">
        <v>1560</v>
      </c>
      <c r="K159" s="6">
        <v>728</v>
      </c>
      <c r="L159" s="6">
        <v>572</v>
      </c>
      <c r="M159" s="6">
        <v>676</v>
      </c>
      <c r="N159" s="43">
        <v>10401</v>
      </c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52"/>
      <c r="Z159" s="52"/>
      <c r="AA159" s="52"/>
    </row>
    <row r="160" spans="1:27" x14ac:dyDescent="0.25">
      <c r="A160" s="5" t="s">
        <v>163</v>
      </c>
      <c r="B160" s="6">
        <v>1872</v>
      </c>
      <c r="C160" s="6">
        <v>2085</v>
      </c>
      <c r="D160" s="6">
        <v>1716</v>
      </c>
      <c r="E160" s="6">
        <v>2384</v>
      </c>
      <c r="F160" s="6">
        <v>3432</v>
      </c>
      <c r="G160" s="6">
        <v>2808</v>
      </c>
      <c r="H160" s="6">
        <v>2174</v>
      </c>
      <c r="I160" s="6">
        <v>1744</v>
      </c>
      <c r="J160" s="6">
        <v>2340</v>
      </c>
      <c r="K160" s="6">
        <v>3120</v>
      </c>
      <c r="L160" s="6">
        <v>4368</v>
      </c>
      <c r="M160" s="6">
        <v>3158</v>
      </c>
      <c r="N160" s="43">
        <v>31201</v>
      </c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52"/>
      <c r="Z160" s="52"/>
      <c r="AA160" s="52"/>
    </row>
    <row r="161" spans="1:27" x14ac:dyDescent="0.25">
      <c r="A161" s="13" t="s">
        <v>164</v>
      </c>
      <c r="B161" s="6">
        <v>9403</v>
      </c>
      <c r="C161" s="6">
        <v>8297</v>
      </c>
      <c r="D161" s="6">
        <v>8629</v>
      </c>
      <c r="E161" s="6">
        <v>7522</v>
      </c>
      <c r="F161" s="6">
        <v>7567</v>
      </c>
      <c r="G161" s="6">
        <v>7744</v>
      </c>
      <c r="H161" s="6">
        <v>9735</v>
      </c>
      <c r="I161" s="6">
        <v>10841</v>
      </c>
      <c r="J161" s="6">
        <v>9514</v>
      </c>
      <c r="K161" s="6">
        <v>9735</v>
      </c>
      <c r="L161" s="6">
        <v>12169</v>
      </c>
      <c r="M161" s="6">
        <v>9469</v>
      </c>
      <c r="N161" s="43">
        <v>110624</v>
      </c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  <c r="Z161" s="52"/>
      <c r="AA161" s="52"/>
    </row>
    <row r="162" spans="1:27" x14ac:dyDescent="0.25">
      <c r="A162" s="13" t="s">
        <v>165</v>
      </c>
      <c r="B162" s="6">
        <v>246</v>
      </c>
      <c r="C162" s="6">
        <v>1844</v>
      </c>
      <c r="D162" s="6">
        <v>246</v>
      </c>
      <c r="E162" s="6">
        <v>246</v>
      </c>
      <c r="F162" s="6">
        <v>1844</v>
      </c>
      <c r="G162" s="6">
        <v>737</v>
      </c>
      <c r="H162" s="6">
        <v>492</v>
      </c>
      <c r="I162" s="6">
        <v>2704</v>
      </c>
      <c r="J162" s="6">
        <v>1475</v>
      </c>
      <c r="K162" s="6">
        <v>1844</v>
      </c>
      <c r="L162" s="6">
        <v>246</v>
      </c>
      <c r="M162" s="6">
        <v>369</v>
      </c>
      <c r="N162" s="43">
        <v>12292</v>
      </c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  <c r="Z162" s="52"/>
      <c r="AA162" s="52"/>
    </row>
    <row r="163" spans="1:27" x14ac:dyDescent="0.25">
      <c r="A163" s="13" t="s">
        <v>166</v>
      </c>
      <c r="B163" s="6">
        <v>54</v>
      </c>
      <c r="C163" s="6">
        <v>83</v>
      </c>
      <c r="D163" s="6">
        <v>131</v>
      </c>
      <c r="E163" s="6">
        <v>165</v>
      </c>
      <c r="F163" s="6">
        <v>123</v>
      </c>
      <c r="G163" s="6">
        <v>65</v>
      </c>
      <c r="H163" s="6">
        <v>72</v>
      </c>
      <c r="I163" s="6">
        <v>169</v>
      </c>
      <c r="J163" s="6">
        <v>184</v>
      </c>
      <c r="K163" s="6">
        <v>207</v>
      </c>
      <c r="L163" s="6">
        <v>199</v>
      </c>
      <c r="M163" s="6">
        <v>84</v>
      </c>
      <c r="N163" s="43">
        <v>1536</v>
      </c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  <c r="AA163" s="52"/>
    </row>
    <row r="164" spans="1:27" x14ac:dyDescent="0.25">
      <c r="A164" s="13" t="s">
        <v>167</v>
      </c>
      <c r="B164" s="6">
        <v>115</v>
      </c>
      <c r="C164" s="6">
        <v>92</v>
      </c>
      <c r="D164" s="6">
        <v>69</v>
      </c>
      <c r="E164" s="6">
        <v>69</v>
      </c>
      <c r="F164" s="6">
        <v>230</v>
      </c>
      <c r="G164" s="6">
        <v>253</v>
      </c>
      <c r="H164" s="6">
        <v>184</v>
      </c>
      <c r="I164" s="6">
        <v>92</v>
      </c>
      <c r="J164" s="6">
        <v>230</v>
      </c>
      <c r="K164" s="6">
        <v>300</v>
      </c>
      <c r="L164" s="6">
        <v>415</v>
      </c>
      <c r="M164" s="6">
        <v>253</v>
      </c>
      <c r="N164" s="43">
        <v>2304</v>
      </c>
      <c r="O164" s="52"/>
      <c r="P164" s="52"/>
      <c r="Q164" s="52"/>
      <c r="R164" s="52"/>
      <c r="S164" s="52"/>
      <c r="T164" s="52"/>
      <c r="U164" s="52"/>
      <c r="V164" s="52"/>
      <c r="W164" s="52"/>
      <c r="X164" s="52"/>
      <c r="Y164" s="52"/>
      <c r="Z164" s="52"/>
      <c r="AA164" s="52"/>
    </row>
    <row r="165" spans="1:27" x14ac:dyDescent="0.25">
      <c r="A165" s="13" t="s">
        <v>168</v>
      </c>
      <c r="B165" s="46">
        <v>14065</v>
      </c>
      <c r="C165" s="46">
        <v>15000</v>
      </c>
      <c r="D165" s="46">
        <v>13356</v>
      </c>
      <c r="E165" s="46">
        <v>13108</v>
      </c>
      <c r="F165" s="46">
        <v>16108</v>
      </c>
      <c r="G165" s="46">
        <v>14970</v>
      </c>
      <c r="H165" s="46">
        <v>15136</v>
      </c>
      <c r="I165" s="46">
        <v>18515</v>
      </c>
      <c r="J165" s="46">
        <v>17661</v>
      </c>
      <c r="K165" s="46">
        <v>19539</v>
      </c>
      <c r="L165" s="46">
        <v>21574</v>
      </c>
      <c r="M165" s="46">
        <v>17061</v>
      </c>
      <c r="N165" s="46">
        <v>196092</v>
      </c>
      <c r="O165" s="52"/>
      <c r="P165" s="52"/>
      <c r="Q165" s="52"/>
      <c r="R165" s="52"/>
      <c r="S165" s="52"/>
      <c r="T165" s="52"/>
      <c r="U165" s="52"/>
      <c r="V165" s="52"/>
      <c r="W165" s="52"/>
      <c r="X165" s="52"/>
      <c r="Y165" s="52"/>
      <c r="Z165" s="52"/>
      <c r="AA165" s="52"/>
    </row>
    <row r="166" spans="1:27" x14ac:dyDescent="0.25">
      <c r="A166" s="13" t="s">
        <v>169</v>
      </c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>
        <v>124</v>
      </c>
      <c r="N166" s="43">
        <v>124</v>
      </c>
      <c r="O166" s="52"/>
      <c r="P166" s="52"/>
      <c r="Q166" s="52"/>
      <c r="R166" s="52"/>
      <c r="S166" s="52"/>
      <c r="T166" s="52"/>
      <c r="U166" s="52"/>
      <c r="V166" s="52"/>
      <c r="W166" s="52"/>
      <c r="X166" s="52"/>
      <c r="Y166" s="52"/>
      <c r="Z166" s="52"/>
      <c r="AA166" s="52"/>
    </row>
    <row r="167" spans="1:27" x14ac:dyDescent="0.25">
      <c r="A167" s="13" t="s">
        <v>77</v>
      </c>
      <c r="B167" s="6"/>
      <c r="C167" s="6"/>
      <c r="D167" s="6"/>
      <c r="E167" s="6"/>
      <c r="F167" s="6"/>
      <c r="G167" s="6"/>
      <c r="H167" s="6"/>
      <c r="I167" s="6">
        <v>1017</v>
      </c>
      <c r="J167" s="6">
        <v>840</v>
      </c>
      <c r="K167" s="6">
        <v>1238</v>
      </c>
      <c r="L167" s="6">
        <v>751</v>
      </c>
      <c r="M167" s="6">
        <v>575</v>
      </c>
      <c r="N167" s="43">
        <v>4420</v>
      </c>
      <c r="O167" s="52"/>
      <c r="P167" s="52"/>
      <c r="Q167" s="52"/>
      <c r="R167" s="52"/>
      <c r="S167" s="52"/>
      <c r="T167" s="52"/>
      <c r="U167" s="52"/>
      <c r="V167" s="52"/>
      <c r="W167" s="52"/>
      <c r="X167" s="52"/>
      <c r="Y167" s="52"/>
      <c r="Z167" s="52"/>
      <c r="AA167" s="52"/>
    </row>
    <row r="168" spans="1:27" x14ac:dyDescent="0.25">
      <c r="A168" s="13" t="s">
        <v>78</v>
      </c>
      <c r="B168" s="6"/>
      <c r="C168" s="6"/>
      <c r="D168" s="6"/>
      <c r="E168" s="6"/>
      <c r="F168" s="6"/>
      <c r="G168" s="6"/>
      <c r="H168" s="6"/>
      <c r="I168" s="6">
        <v>353</v>
      </c>
      <c r="J168" s="6">
        <v>409</v>
      </c>
      <c r="K168" s="6">
        <v>427</v>
      </c>
      <c r="L168" s="6">
        <v>409</v>
      </c>
      <c r="M168" s="6">
        <v>260</v>
      </c>
      <c r="N168" s="43">
        <v>1858</v>
      </c>
      <c r="O168" s="52"/>
      <c r="P168" s="52"/>
      <c r="Q168" s="52"/>
      <c r="R168" s="52"/>
      <c r="S168" s="52"/>
      <c r="T168" s="52"/>
      <c r="U168" s="52"/>
      <c r="V168" s="52"/>
      <c r="W168" s="52"/>
      <c r="X168" s="52"/>
      <c r="Y168" s="52"/>
      <c r="Z168" s="52"/>
      <c r="AA168" s="52"/>
    </row>
    <row r="169" spans="1:27" x14ac:dyDescent="0.25">
      <c r="A169" s="13" t="s">
        <v>79</v>
      </c>
      <c r="B169" s="45" t="s">
        <v>80</v>
      </c>
      <c r="C169" s="45" t="s">
        <v>81</v>
      </c>
      <c r="D169" s="45" t="s">
        <v>81</v>
      </c>
      <c r="E169" s="45" t="s">
        <v>81</v>
      </c>
      <c r="F169" s="45" t="s">
        <v>82</v>
      </c>
      <c r="G169" s="45" t="s">
        <v>81</v>
      </c>
      <c r="H169" s="45" t="s">
        <v>81</v>
      </c>
      <c r="I169" s="46">
        <v>1370</v>
      </c>
      <c r="J169" s="46">
        <v>1249</v>
      </c>
      <c r="K169" s="46">
        <v>1665</v>
      </c>
      <c r="L169" s="46">
        <v>1160</v>
      </c>
      <c r="M169" s="46">
        <v>835</v>
      </c>
      <c r="N169" s="46">
        <v>6278</v>
      </c>
      <c r="O169" s="52"/>
      <c r="P169" s="52"/>
      <c r="Q169" s="52"/>
      <c r="R169" s="52"/>
      <c r="S169" s="52"/>
      <c r="T169" s="52"/>
      <c r="U169" s="52"/>
      <c r="V169" s="52"/>
      <c r="W169" s="52"/>
      <c r="X169" s="52"/>
      <c r="Y169" s="52"/>
      <c r="Z169" s="52"/>
      <c r="AA169" s="52"/>
    </row>
    <row r="170" spans="1:27" x14ac:dyDescent="0.25">
      <c r="A170" s="13" t="s">
        <v>170</v>
      </c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 t="s">
        <v>30</v>
      </c>
      <c r="O170" s="52"/>
      <c r="P170" s="52"/>
      <c r="Q170" s="52"/>
      <c r="R170" s="52"/>
      <c r="S170" s="52"/>
      <c r="T170" s="52"/>
      <c r="U170" s="52"/>
      <c r="V170" s="52"/>
      <c r="W170" s="52"/>
      <c r="X170" s="52"/>
      <c r="Y170" s="52"/>
      <c r="Z170" s="52"/>
      <c r="AA170" s="52"/>
    </row>
    <row r="171" spans="1:27" x14ac:dyDescent="0.25">
      <c r="A171" s="13" t="s">
        <v>171</v>
      </c>
      <c r="B171" s="6">
        <v>250</v>
      </c>
      <c r="C171" s="6">
        <v>300</v>
      </c>
      <c r="D171" s="6">
        <v>350</v>
      </c>
      <c r="E171" s="6">
        <v>425</v>
      </c>
      <c r="F171" s="6">
        <v>450</v>
      </c>
      <c r="G171" s="6">
        <v>400</v>
      </c>
      <c r="H171" s="6">
        <v>250</v>
      </c>
      <c r="I171" s="6">
        <v>300</v>
      </c>
      <c r="J171" s="6">
        <v>425</v>
      </c>
      <c r="K171" s="6">
        <v>649</v>
      </c>
      <c r="L171" s="6">
        <v>649</v>
      </c>
      <c r="M171" s="6">
        <v>549</v>
      </c>
      <c r="N171" s="43">
        <v>4995</v>
      </c>
      <c r="O171" s="52"/>
      <c r="P171" s="52"/>
      <c r="Q171" s="52"/>
      <c r="R171" s="52"/>
      <c r="S171" s="52"/>
      <c r="T171" s="52"/>
      <c r="U171" s="52"/>
      <c r="V171" s="52"/>
      <c r="W171" s="52"/>
      <c r="X171" s="52"/>
      <c r="Y171" s="52"/>
      <c r="Z171" s="52"/>
      <c r="AA171" s="52"/>
    </row>
    <row r="172" spans="1:27" x14ac:dyDescent="0.25">
      <c r="A172" s="13" t="s">
        <v>172</v>
      </c>
      <c r="B172" s="6">
        <v>492</v>
      </c>
      <c r="C172" s="6">
        <v>702</v>
      </c>
      <c r="D172" s="6">
        <v>492</v>
      </c>
      <c r="E172" s="6">
        <v>421</v>
      </c>
      <c r="F172" s="6">
        <v>562</v>
      </c>
      <c r="G172" s="6">
        <v>492</v>
      </c>
      <c r="H172" s="6">
        <v>562</v>
      </c>
      <c r="I172" s="6">
        <v>702</v>
      </c>
      <c r="J172" s="6">
        <v>632</v>
      </c>
      <c r="K172" s="6">
        <v>702</v>
      </c>
      <c r="L172" s="6">
        <v>632</v>
      </c>
      <c r="M172" s="6">
        <v>632</v>
      </c>
      <c r="N172" s="43">
        <v>7022</v>
      </c>
      <c r="O172" s="52"/>
      <c r="P172" s="52"/>
      <c r="Q172" s="52"/>
      <c r="R172" s="52"/>
      <c r="S172" s="52"/>
      <c r="T172" s="52"/>
      <c r="U172" s="52"/>
      <c r="V172" s="52"/>
      <c r="W172" s="52"/>
      <c r="X172" s="52"/>
      <c r="Y172" s="52"/>
      <c r="Z172" s="52"/>
      <c r="AA172" s="52"/>
    </row>
    <row r="173" spans="1:27" x14ac:dyDescent="0.25">
      <c r="A173" s="13" t="s">
        <v>173</v>
      </c>
      <c r="B173" s="6"/>
      <c r="C173" s="6"/>
      <c r="D173" s="6"/>
      <c r="E173" s="6"/>
      <c r="F173" s="6"/>
      <c r="G173" s="6"/>
      <c r="H173" s="6"/>
      <c r="I173" s="6">
        <v>106</v>
      </c>
      <c r="J173" s="6"/>
      <c r="K173" s="6">
        <v>15</v>
      </c>
      <c r="L173" s="6"/>
      <c r="M173" s="6">
        <v>528</v>
      </c>
      <c r="N173" s="43">
        <v>649</v>
      </c>
      <c r="O173" s="52"/>
      <c r="P173" s="52"/>
      <c r="Q173" s="52"/>
      <c r="R173" s="52"/>
      <c r="S173" s="52"/>
      <c r="T173" s="52"/>
      <c r="U173" s="52"/>
      <c r="V173" s="52"/>
      <c r="W173" s="52"/>
      <c r="X173" s="52"/>
      <c r="Y173" s="52"/>
      <c r="Z173" s="52"/>
      <c r="AA173" s="52"/>
    </row>
    <row r="174" spans="1:27" x14ac:dyDescent="0.25">
      <c r="A174" s="13" t="s">
        <v>174</v>
      </c>
      <c r="B174" s="46">
        <v>741</v>
      </c>
      <c r="C174" s="46">
        <v>1002</v>
      </c>
      <c r="D174" s="46">
        <v>841</v>
      </c>
      <c r="E174" s="46">
        <v>846</v>
      </c>
      <c r="F174" s="46">
        <v>1011</v>
      </c>
      <c r="G174" s="46">
        <v>891</v>
      </c>
      <c r="H174" s="46">
        <v>812</v>
      </c>
      <c r="I174" s="46">
        <v>1107</v>
      </c>
      <c r="J174" s="46">
        <v>1057</v>
      </c>
      <c r="K174" s="46">
        <v>1367</v>
      </c>
      <c r="L174" s="46">
        <v>1281</v>
      </c>
      <c r="M174" s="46">
        <v>1710</v>
      </c>
      <c r="N174" s="46">
        <v>12666</v>
      </c>
      <c r="O174" s="52"/>
      <c r="P174" s="52"/>
      <c r="Q174" s="52"/>
      <c r="R174" s="52"/>
      <c r="S174" s="52"/>
      <c r="T174" s="52"/>
      <c r="U174" s="52"/>
      <c r="V174" s="52"/>
      <c r="W174" s="52"/>
      <c r="X174" s="52"/>
      <c r="Y174" s="52"/>
      <c r="Z174" s="52"/>
      <c r="AA174" s="52"/>
    </row>
    <row r="175" spans="1:27" x14ac:dyDescent="0.25">
      <c r="A175" s="13" t="s">
        <v>83</v>
      </c>
      <c r="B175" s="46">
        <v>15539</v>
      </c>
      <c r="C175" s="46">
        <v>16912</v>
      </c>
      <c r="D175" s="46">
        <v>15112</v>
      </c>
      <c r="E175" s="46">
        <v>14922</v>
      </c>
      <c r="F175" s="46">
        <v>18286</v>
      </c>
      <c r="G175" s="46">
        <v>16864</v>
      </c>
      <c r="H175" s="46">
        <v>16773</v>
      </c>
      <c r="I175" s="46">
        <v>22030</v>
      </c>
      <c r="J175" s="46">
        <v>21082</v>
      </c>
      <c r="K175" s="46">
        <v>24119</v>
      </c>
      <c r="L175" s="46">
        <v>25544</v>
      </c>
      <c r="M175" s="46">
        <v>21050</v>
      </c>
      <c r="N175" s="46">
        <v>228233</v>
      </c>
      <c r="O175" s="52"/>
      <c r="P175" s="52"/>
      <c r="Q175" s="52"/>
      <c r="R175" s="52"/>
      <c r="S175" s="52"/>
      <c r="T175" s="52"/>
      <c r="U175" s="52"/>
      <c r="V175" s="52"/>
      <c r="W175" s="52"/>
      <c r="X175" s="52"/>
      <c r="Y175" s="52"/>
      <c r="Z175" s="52"/>
      <c r="AA175" s="52"/>
    </row>
    <row r="176" spans="1:27" x14ac:dyDescent="0.25">
      <c r="A176" s="50" t="s">
        <v>84</v>
      </c>
      <c r="B176" s="46">
        <v>7247</v>
      </c>
      <c r="C176" s="46">
        <v>10401</v>
      </c>
      <c r="D176" s="46">
        <v>8984</v>
      </c>
      <c r="E176" s="46">
        <v>10153</v>
      </c>
      <c r="F176" s="46">
        <v>12665</v>
      </c>
      <c r="G176" s="46">
        <v>9786</v>
      </c>
      <c r="H176" s="46">
        <v>8622</v>
      </c>
      <c r="I176" s="46">
        <v>9445</v>
      </c>
      <c r="J176" s="46">
        <v>12370</v>
      </c>
      <c r="K176" s="46">
        <v>11498</v>
      </c>
      <c r="L176" s="46">
        <v>11926</v>
      </c>
      <c r="M176" s="46">
        <v>11944</v>
      </c>
      <c r="N176" s="46">
        <v>125041</v>
      </c>
      <c r="O176" s="52"/>
      <c r="P176" s="52"/>
      <c r="Q176" s="52"/>
      <c r="R176" s="52"/>
      <c r="S176" s="52"/>
      <c r="T176" s="52"/>
      <c r="U176" s="52"/>
      <c r="V176" s="52"/>
      <c r="W176" s="52"/>
      <c r="X176" s="52"/>
      <c r="Y176" s="52"/>
      <c r="Z176" s="52"/>
      <c r="AA176" s="52"/>
    </row>
    <row r="177" spans="1:27" x14ac:dyDescent="0.25">
      <c r="A177" s="50" t="s">
        <v>85</v>
      </c>
      <c r="B177" s="19">
        <v>0.32</v>
      </c>
      <c r="C177" s="19">
        <v>0.38</v>
      </c>
      <c r="D177" s="19">
        <v>0.37</v>
      </c>
      <c r="E177" s="19">
        <v>0.4</v>
      </c>
      <c r="F177" s="19">
        <v>0.41</v>
      </c>
      <c r="G177" s="19">
        <v>0.37</v>
      </c>
      <c r="H177" s="57">
        <v>0.34</v>
      </c>
      <c r="I177" s="19">
        <v>0.3</v>
      </c>
      <c r="J177" s="19">
        <v>0.37</v>
      </c>
      <c r="K177" s="19">
        <v>0.32</v>
      </c>
      <c r="L177" s="19">
        <v>0.32</v>
      </c>
      <c r="M177" s="57">
        <v>0.36</v>
      </c>
      <c r="N177" s="19">
        <v>0.35</v>
      </c>
      <c r="O177" s="52"/>
      <c r="P177" s="52"/>
      <c r="Q177" s="52"/>
      <c r="R177" s="52"/>
      <c r="S177" s="52"/>
      <c r="T177" s="52"/>
      <c r="U177" s="52"/>
      <c r="V177" s="52"/>
      <c r="W177" s="52"/>
      <c r="X177" s="52"/>
      <c r="Y177" s="52"/>
      <c r="Z177" s="52"/>
      <c r="AA177" s="52"/>
    </row>
  </sheetData>
  <sheetProtection algorithmName="SHA-512" hashValue="gGIAkG5QFBomGxCFsh5GXPWBXEoIoBdLwESivcYhaTE67C5JSQHZh0voRzGCh9Q39vwJPOVJmNS17lzmCDEpKQ==" saltValue="c5dNhIr/GRPgU7xAbKmZUw==" spinCount="100000" sheet="1" objects="1" scenarios="1"/>
  <mergeCells count="3">
    <mergeCell ref="A1:N1"/>
    <mergeCell ref="A2:N2"/>
    <mergeCell ref="A148:N14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018CC-F31C-4338-A200-5443CAD034F0}">
  <dimension ref="A1:Y148"/>
  <sheetViews>
    <sheetView zoomScale="120" zoomScaleNormal="120" workbookViewId="0">
      <pane xSplit="1" ySplit="4" topLeftCell="E129" activePane="bottomRight" state="frozen"/>
      <selection pane="topRight"/>
      <selection pane="bottomLeft"/>
      <selection pane="bottomRight" activeCell="N140" sqref="N140"/>
    </sheetView>
  </sheetViews>
  <sheetFormatPr defaultColWidth="11" defaultRowHeight="15.75" x14ac:dyDescent="0.25"/>
  <cols>
    <col min="1" max="1" width="37" customWidth="1"/>
    <col min="2" max="2" width="11.375" customWidth="1"/>
    <col min="3" max="5" width="12.5" bestFit="1" customWidth="1"/>
    <col min="6" max="6" width="12.625" bestFit="1" customWidth="1"/>
    <col min="7" max="10" width="12.5" bestFit="1" customWidth="1"/>
    <col min="11" max="13" width="12.625" bestFit="1" customWidth="1"/>
    <col min="14" max="14" width="13.625" bestFit="1" customWidth="1"/>
    <col min="15" max="15" width="12.875" customWidth="1"/>
    <col min="16" max="16" width="12" bestFit="1" customWidth="1"/>
    <col min="17" max="17" width="9"/>
    <col min="18" max="18" width="17.625" customWidth="1"/>
    <col min="19" max="19" width="13.875" customWidth="1"/>
    <col min="20" max="20" width="11.375" bestFit="1" customWidth="1"/>
  </cols>
  <sheetData>
    <row r="1" spans="1:25" ht="30.95" customHeight="1" x14ac:dyDescent="0.4">
      <c r="A1" s="185" t="s">
        <v>175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20.100000000000001" customHeight="1" x14ac:dyDescent="0.3">
      <c r="A2" s="186" t="s">
        <v>1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0.25" x14ac:dyDescent="0.3">
      <c r="A3" s="12"/>
      <c r="B3" s="96" t="s">
        <v>2</v>
      </c>
      <c r="C3" s="95"/>
      <c r="D3" s="95"/>
      <c r="E3" s="95"/>
      <c r="F3" s="95"/>
      <c r="G3" s="95"/>
      <c r="H3" s="95"/>
      <c r="I3" s="12"/>
      <c r="J3" s="12"/>
      <c r="K3" s="12"/>
      <c r="L3" s="12"/>
      <c r="M3" s="12"/>
      <c r="N3" s="12"/>
      <c r="O3" s="12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5">
      <c r="A4" s="6"/>
      <c r="B4" s="7" t="s">
        <v>3</v>
      </c>
      <c r="C4" s="20">
        <v>45068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7" t="s">
        <v>12</v>
      </c>
      <c r="M4" s="7" t="s">
        <v>13</v>
      </c>
      <c r="N4" s="7" t="s">
        <v>14</v>
      </c>
      <c r="O4" s="12"/>
      <c r="P4" s="1"/>
      <c r="Q4" s="1"/>
      <c r="R4" s="70" t="s">
        <v>176</v>
      </c>
      <c r="S4" s="66"/>
      <c r="T4" s="67">
        <f>S5/1.3</f>
        <v>0.96153846153846145</v>
      </c>
      <c r="U4" s="1"/>
      <c r="V4" s="1"/>
      <c r="W4" s="1"/>
      <c r="X4" s="1"/>
      <c r="Y4" s="1"/>
    </row>
    <row r="5" spans="1:25" x14ac:dyDescent="0.25">
      <c r="A5" s="8" t="s">
        <v>15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12"/>
      <c r="P5" s="1"/>
      <c r="Q5" s="1"/>
      <c r="R5" s="66" t="s">
        <v>177</v>
      </c>
      <c r="S5" s="67">
        <v>1.25</v>
      </c>
      <c r="T5" s="1"/>
      <c r="U5" s="1"/>
      <c r="V5" s="1"/>
      <c r="W5" s="1"/>
      <c r="X5" s="1"/>
      <c r="Y5" s="1"/>
    </row>
    <row r="6" spans="1:25" ht="19.5" customHeight="1" x14ac:dyDescent="0.25">
      <c r="A6" s="58" t="s">
        <v>178</v>
      </c>
      <c r="B6" s="63">
        <f>B10/$S$5</f>
        <v>4790.5360000000001</v>
      </c>
      <c r="C6" s="63">
        <f t="shared" ref="C6:N6" si="0">C10/$S$5</f>
        <v>4076.1519999999996</v>
      </c>
      <c r="D6" s="63">
        <f t="shared" si="0"/>
        <v>4622.4399999999996</v>
      </c>
      <c r="E6" s="63">
        <f t="shared" si="0"/>
        <v>7227.8240000000005</v>
      </c>
      <c r="F6" s="63">
        <f t="shared" si="0"/>
        <v>8278.3760000000002</v>
      </c>
      <c r="G6" s="63">
        <f t="shared" si="0"/>
        <v>7606.0160000000005</v>
      </c>
      <c r="H6" s="63">
        <f t="shared" si="0"/>
        <v>4622.4400000000005</v>
      </c>
      <c r="I6" s="63">
        <f t="shared" si="0"/>
        <v>4202.2160000000003</v>
      </c>
      <c r="J6" s="63">
        <f t="shared" si="0"/>
        <v>7942.2080000000005</v>
      </c>
      <c r="K6" s="63">
        <f t="shared" si="0"/>
        <v>8236.36</v>
      </c>
      <c r="L6" s="63">
        <f t="shared" si="0"/>
        <v>13068.928</v>
      </c>
      <c r="M6" s="63">
        <f t="shared" si="0"/>
        <v>9370.9600000000009</v>
      </c>
      <c r="N6" s="63">
        <f t="shared" si="0"/>
        <v>84044.456000000006</v>
      </c>
      <c r="O6" s="34" t="s">
        <v>179</v>
      </c>
      <c r="P6" s="1"/>
      <c r="Q6" s="1"/>
      <c r="R6" s="66" t="s">
        <v>180</v>
      </c>
      <c r="S6" s="68">
        <f>$S$7/(N6+N12)</f>
        <v>0.5480873475439545</v>
      </c>
      <c r="T6" s="1"/>
      <c r="U6" s="1"/>
      <c r="V6" s="1"/>
      <c r="W6" s="1"/>
      <c r="X6" s="1"/>
      <c r="Y6" s="1"/>
    </row>
    <row r="7" spans="1:25" x14ac:dyDescent="0.25">
      <c r="A7" s="29" t="s">
        <v>181</v>
      </c>
      <c r="B7" s="60">
        <v>2101.11</v>
      </c>
      <c r="C7" s="61">
        <v>1575.83</v>
      </c>
      <c r="D7" s="61">
        <v>2626.39</v>
      </c>
      <c r="E7" s="61">
        <v>5252.78</v>
      </c>
      <c r="F7" s="61">
        <v>5778.06</v>
      </c>
      <c r="G7" s="61">
        <v>4202.22</v>
      </c>
      <c r="H7" s="61">
        <v>2101.11</v>
      </c>
      <c r="I7" s="61">
        <v>1575.83</v>
      </c>
      <c r="J7" s="61">
        <v>5252.78</v>
      </c>
      <c r="K7" s="61">
        <v>5778.06</v>
      </c>
      <c r="L7" s="61">
        <v>9455.01</v>
      </c>
      <c r="M7" s="61">
        <v>6828.62</v>
      </c>
      <c r="N7" s="98">
        <f>SUM(B7:M7)</f>
        <v>52527.8</v>
      </c>
      <c r="O7" s="35"/>
      <c r="P7" s="1"/>
      <c r="Q7" s="1"/>
      <c r="R7" s="66" t="s">
        <v>182</v>
      </c>
      <c r="S7" s="108">
        <f>N129+N131+N135+N139+N141+N142+N140</f>
        <v>175809.85000000003</v>
      </c>
      <c r="T7" s="4"/>
      <c r="U7" s="1"/>
      <c r="V7" s="1"/>
      <c r="W7" s="1"/>
      <c r="X7" s="1"/>
      <c r="Y7" s="1"/>
    </row>
    <row r="8" spans="1:25" x14ac:dyDescent="0.25">
      <c r="A8" s="8" t="s">
        <v>183</v>
      </c>
      <c r="B8" s="61">
        <v>945.5</v>
      </c>
      <c r="C8" s="61">
        <v>998.03</v>
      </c>
      <c r="D8" s="61">
        <v>630.33000000000004</v>
      </c>
      <c r="E8" s="61">
        <v>420.22</v>
      </c>
      <c r="F8" s="61">
        <v>367.69</v>
      </c>
      <c r="G8" s="61">
        <v>1103.08</v>
      </c>
      <c r="H8" s="61">
        <v>1155.6099999999999</v>
      </c>
      <c r="I8" s="61">
        <v>1575.83</v>
      </c>
      <c r="J8" s="61">
        <v>1313.2</v>
      </c>
      <c r="K8" s="61">
        <v>735.39</v>
      </c>
      <c r="L8" s="61">
        <v>577.80999999999995</v>
      </c>
      <c r="M8" s="61">
        <v>682.86</v>
      </c>
      <c r="N8" s="98">
        <f t="shared" ref="N8:N10" si="1">SUM(B8:M8)</f>
        <v>10505.55</v>
      </c>
      <c r="O8" s="35"/>
      <c r="P8" s="1"/>
      <c r="Q8" s="1"/>
      <c r="R8" s="66" t="s">
        <v>184</v>
      </c>
      <c r="S8" s="108">
        <f>N132+N144</f>
        <v>19800.510000000002</v>
      </c>
      <c r="T8" s="4"/>
      <c r="U8" s="1"/>
      <c r="V8" s="1"/>
      <c r="W8" s="1"/>
      <c r="X8" s="1"/>
      <c r="Y8" s="1"/>
    </row>
    <row r="9" spans="1:25" x14ac:dyDescent="0.25">
      <c r="A9" s="29" t="s">
        <v>185</v>
      </c>
      <c r="B9" s="61">
        <v>2941.56</v>
      </c>
      <c r="C9" s="61">
        <v>2521.33</v>
      </c>
      <c r="D9" s="61">
        <v>2521.33</v>
      </c>
      <c r="E9" s="61">
        <v>3361.78</v>
      </c>
      <c r="F9" s="61">
        <v>4202.22</v>
      </c>
      <c r="G9" s="61">
        <v>4202.22</v>
      </c>
      <c r="H9" s="61">
        <v>2521.33</v>
      </c>
      <c r="I9" s="61">
        <v>2101.11</v>
      </c>
      <c r="J9" s="61">
        <v>3361.78</v>
      </c>
      <c r="K9" s="61">
        <v>3782</v>
      </c>
      <c r="L9" s="61">
        <v>6303.34</v>
      </c>
      <c r="M9" s="61">
        <v>4202.22</v>
      </c>
      <c r="N9" s="98">
        <f t="shared" si="1"/>
        <v>42022.22</v>
      </c>
      <c r="O9" s="33"/>
      <c r="P9" s="1"/>
      <c r="Q9" s="1"/>
      <c r="R9" s="66" t="s">
        <v>186</v>
      </c>
      <c r="S9" s="109">
        <f>N10/(N10+(N15*1.3))</f>
        <v>0.26200865858661837</v>
      </c>
      <c r="T9" s="110">
        <f>S7*S9</f>
        <v>46063.702964814598</v>
      </c>
      <c r="U9" s="1"/>
      <c r="V9" s="1"/>
      <c r="W9" s="1"/>
      <c r="X9" s="1"/>
      <c r="Y9" s="1"/>
    </row>
    <row r="10" spans="1:25" x14ac:dyDescent="0.25">
      <c r="A10" s="29" t="s">
        <v>187</v>
      </c>
      <c r="B10" s="25">
        <f>SUM(B7:B9)</f>
        <v>5988.17</v>
      </c>
      <c r="C10" s="25">
        <f t="shared" ref="C10:M10" si="2">SUM(C7:C9)</f>
        <v>5095.1899999999996</v>
      </c>
      <c r="D10" s="25">
        <f t="shared" si="2"/>
        <v>5778.0499999999993</v>
      </c>
      <c r="E10" s="25">
        <f t="shared" si="2"/>
        <v>9034.7800000000007</v>
      </c>
      <c r="F10" s="25">
        <f t="shared" si="2"/>
        <v>10347.970000000001</v>
      </c>
      <c r="G10" s="25">
        <f t="shared" si="2"/>
        <v>9507.52</v>
      </c>
      <c r="H10" s="25">
        <f t="shared" si="2"/>
        <v>5778.05</v>
      </c>
      <c r="I10" s="25">
        <f t="shared" si="2"/>
        <v>5252.77</v>
      </c>
      <c r="J10" s="25">
        <f t="shared" si="2"/>
        <v>9927.76</v>
      </c>
      <c r="K10" s="25">
        <f t="shared" si="2"/>
        <v>10295.450000000001</v>
      </c>
      <c r="L10" s="25">
        <f t="shared" si="2"/>
        <v>16336.16</v>
      </c>
      <c r="M10" s="25">
        <f t="shared" si="2"/>
        <v>11713.7</v>
      </c>
      <c r="N10" s="99">
        <f t="shared" si="1"/>
        <v>105055.57</v>
      </c>
      <c r="O10" s="69">
        <v>0.43</v>
      </c>
      <c r="P10" s="37"/>
      <c r="Q10" s="1"/>
      <c r="R10" s="66" t="s">
        <v>188</v>
      </c>
      <c r="S10" s="109">
        <f>(N15*1.3)/((N15*1.3)+N10)</f>
        <v>0.73799134141338163</v>
      </c>
      <c r="T10" s="110">
        <f>+S7*S10</f>
        <v>129746.14703518544</v>
      </c>
      <c r="U10" s="1"/>
      <c r="V10" s="1"/>
      <c r="W10" s="1"/>
      <c r="X10" s="1"/>
      <c r="Y10" s="1"/>
    </row>
    <row r="11" spans="1:25" x14ac:dyDescent="0.25">
      <c r="A11" s="29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33"/>
      <c r="P11" s="37"/>
      <c r="Q11" s="1"/>
      <c r="R11" s="1"/>
      <c r="S11" s="36"/>
      <c r="T11" s="59"/>
      <c r="U11" s="1"/>
      <c r="V11" s="1"/>
      <c r="W11" s="1"/>
      <c r="X11" s="1"/>
      <c r="Y11" s="1"/>
    </row>
    <row r="12" spans="1:25" x14ac:dyDescent="0.25">
      <c r="A12" s="58" t="s">
        <v>189</v>
      </c>
      <c r="B12" s="63">
        <f>B15/($S$5/1.3)</f>
        <v>16807.492000000002</v>
      </c>
      <c r="C12" s="63">
        <f t="shared" ref="C12:N12" si="3">C15/($S$5/1.3)</f>
        <v>22429.721600000004</v>
      </c>
      <c r="D12" s="63">
        <f t="shared" si="3"/>
        <v>17813.577600000004</v>
      </c>
      <c r="E12" s="63">
        <f t="shared" si="3"/>
        <v>14795.331200000002</v>
      </c>
      <c r="F12" s="63">
        <f t="shared" si="3"/>
        <v>19411.475200000004</v>
      </c>
      <c r="G12" s="63">
        <f t="shared" si="3"/>
        <v>16215.680000000002</v>
      </c>
      <c r="H12" s="63">
        <f t="shared" si="3"/>
        <v>19529.837600000003</v>
      </c>
      <c r="I12" s="63">
        <f t="shared" si="3"/>
        <v>25921.428000000004</v>
      </c>
      <c r="J12" s="63">
        <f t="shared" si="3"/>
        <v>22370.545600000001</v>
      </c>
      <c r="K12" s="63">
        <f t="shared" si="3"/>
        <v>23435.807200000003</v>
      </c>
      <c r="L12" s="63">
        <f t="shared" si="3"/>
        <v>18819.663200000003</v>
      </c>
      <c r="M12" s="63">
        <f t="shared" si="3"/>
        <v>19174.750400000004</v>
      </c>
      <c r="N12" s="63">
        <f t="shared" si="3"/>
        <v>236725.30960000004</v>
      </c>
      <c r="R12" s="1"/>
      <c r="S12" s="1"/>
      <c r="T12" s="1"/>
      <c r="U12" s="1"/>
      <c r="V12" s="1"/>
      <c r="W12" s="1"/>
      <c r="X12" s="1"/>
      <c r="Y12" s="1"/>
    </row>
    <row r="13" spans="1:25" x14ac:dyDescent="0.25">
      <c r="A13" s="29" t="s">
        <v>190</v>
      </c>
      <c r="B13" s="61">
        <v>15478.19</v>
      </c>
      <c r="C13" s="61">
        <v>16445.580000000002</v>
      </c>
      <c r="D13" s="61">
        <v>16445.580000000002</v>
      </c>
      <c r="E13" s="61">
        <v>13543.42</v>
      </c>
      <c r="F13" s="61">
        <v>13543.42</v>
      </c>
      <c r="G13" s="61">
        <v>13543.42</v>
      </c>
      <c r="H13" s="61">
        <v>17412.97</v>
      </c>
      <c r="I13" s="61">
        <v>17412.97</v>
      </c>
      <c r="J13" s="61">
        <v>17412.97</v>
      </c>
      <c r="K13" s="61">
        <v>17412.97</v>
      </c>
      <c r="L13" s="61">
        <v>17412.97</v>
      </c>
      <c r="M13" s="61">
        <v>17412.97</v>
      </c>
      <c r="N13" s="62">
        <f>SUM(B13:M13)</f>
        <v>193477.43000000002</v>
      </c>
      <c r="O13" s="35"/>
      <c r="P13" s="1"/>
      <c r="Q13" s="1"/>
      <c r="R13" s="3"/>
      <c r="S13" s="3"/>
      <c r="T13" s="3"/>
      <c r="U13" s="3"/>
      <c r="V13" s="3"/>
      <c r="W13" s="2"/>
      <c r="X13" s="3"/>
      <c r="Y13" s="1"/>
    </row>
    <row r="14" spans="1:25" x14ac:dyDescent="0.25">
      <c r="A14" s="29" t="s">
        <v>191</v>
      </c>
      <c r="B14" s="61">
        <v>682.86</v>
      </c>
      <c r="C14" s="61">
        <v>5121.46</v>
      </c>
      <c r="D14" s="61">
        <v>682.86</v>
      </c>
      <c r="E14" s="61">
        <v>682.86</v>
      </c>
      <c r="F14" s="61">
        <v>5121.46</v>
      </c>
      <c r="G14" s="61">
        <v>2048.58</v>
      </c>
      <c r="H14" s="61">
        <v>1365.72</v>
      </c>
      <c r="I14" s="61">
        <v>7511.48</v>
      </c>
      <c r="J14" s="61">
        <v>4097.17</v>
      </c>
      <c r="K14" s="61">
        <v>5121.46</v>
      </c>
      <c r="L14" s="61">
        <v>682.86</v>
      </c>
      <c r="M14" s="61">
        <v>1024.29</v>
      </c>
      <c r="N14" s="62">
        <f>SUM(B14:M14)</f>
        <v>34143.06</v>
      </c>
      <c r="O14" s="33"/>
      <c r="P14" s="1"/>
      <c r="Q14" s="1"/>
      <c r="R14" s="3"/>
      <c r="S14" s="2"/>
      <c r="T14" s="3"/>
      <c r="U14" s="2"/>
      <c r="V14" s="2"/>
      <c r="W14" s="2"/>
      <c r="X14" s="3"/>
      <c r="Y14" s="1"/>
    </row>
    <row r="15" spans="1:25" x14ac:dyDescent="0.25">
      <c r="A15" s="29" t="s">
        <v>192</v>
      </c>
      <c r="B15" s="25">
        <f>SUM(B13:B14)</f>
        <v>16161.050000000001</v>
      </c>
      <c r="C15" s="25">
        <f t="shared" ref="C15:N15" si="4">SUM(C13:C14)</f>
        <v>21567.040000000001</v>
      </c>
      <c r="D15" s="25">
        <f t="shared" si="4"/>
        <v>17128.440000000002</v>
      </c>
      <c r="E15" s="25">
        <f t="shared" si="4"/>
        <v>14226.28</v>
      </c>
      <c r="F15" s="25">
        <f t="shared" si="4"/>
        <v>18664.88</v>
      </c>
      <c r="G15" s="25">
        <f t="shared" si="4"/>
        <v>15592</v>
      </c>
      <c r="H15" s="25">
        <f t="shared" si="4"/>
        <v>18778.690000000002</v>
      </c>
      <c r="I15" s="25">
        <f t="shared" si="4"/>
        <v>24924.45</v>
      </c>
      <c r="J15" s="25">
        <f t="shared" si="4"/>
        <v>21510.14</v>
      </c>
      <c r="K15" s="25">
        <f t="shared" si="4"/>
        <v>22534.43</v>
      </c>
      <c r="L15" s="25">
        <f t="shared" si="4"/>
        <v>18095.830000000002</v>
      </c>
      <c r="M15" s="25">
        <f t="shared" si="4"/>
        <v>18437.260000000002</v>
      </c>
      <c r="N15" s="25">
        <f t="shared" si="4"/>
        <v>227620.49000000002</v>
      </c>
      <c r="O15" s="69">
        <v>0.26</v>
      </c>
      <c r="P15" s="37"/>
      <c r="Q15" s="1"/>
      <c r="R15" s="3"/>
      <c r="S15" s="3"/>
      <c r="T15" s="3"/>
      <c r="U15" s="3"/>
      <c r="V15" s="3"/>
      <c r="W15" s="2"/>
      <c r="X15" s="2"/>
      <c r="Y15" s="1"/>
    </row>
    <row r="16" spans="1:25" x14ac:dyDescent="0.25">
      <c r="A16" s="8" t="s">
        <v>193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4">
        <v>0</v>
      </c>
      <c r="O16" s="32"/>
      <c r="P16" s="1"/>
      <c r="Q16" s="1"/>
      <c r="R16" s="2"/>
      <c r="S16" s="2"/>
      <c r="T16" s="2"/>
      <c r="U16" s="2"/>
      <c r="V16" s="2"/>
      <c r="W16" s="2"/>
      <c r="X16" s="2"/>
      <c r="Y16" s="1"/>
    </row>
    <row r="17" spans="1:25" x14ac:dyDescent="0.25">
      <c r="A17" s="8" t="s">
        <v>194</v>
      </c>
      <c r="B17" s="61">
        <v>188.56</v>
      </c>
      <c r="C17" s="61">
        <v>314.26</v>
      </c>
      <c r="D17" s="61">
        <v>628.53</v>
      </c>
      <c r="E17" s="61">
        <v>691.38</v>
      </c>
      <c r="F17" s="61">
        <v>502.82</v>
      </c>
      <c r="G17" s="61">
        <v>251.41</v>
      </c>
      <c r="H17" s="61">
        <v>188.56</v>
      </c>
      <c r="I17" s="61">
        <v>628.53</v>
      </c>
      <c r="J17" s="61">
        <v>691.38</v>
      </c>
      <c r="K17" s="61">
        <v>1131.3499999999999</v>
      </c>
      <c r="L17" s="61">
        <v>817.08</v>
      </c>
      <c r="M17" s="61">
        <v>251.41</v>
      </c>
      <c r="N17" s="62">
        <f>SUM(B17:M17)</f>
        <v>6285.27</v>
      </c>
      <c r="O17" s="35"/>
      <c r="P17" s="1"/>
      <c r="Q17" s="1"/>
      <c r="R17" s="2"/>
      <c r="S17" s="3"/>
      <c r="T17" s="3"/>
      <c r="U17" s="2"/>
      <c r="V17" s="2"/>
      <c r="W17" s="2"/>
      <c r="X17" s="3"/>
      <c r="Y17" s="1"/>
    </row>
    <row r="18" spans="1:25" x14ac:dyDescent="0.25">
      <c r="A18" s="8" t="s">
        <v>195</v>
      </c>
      <c r="B18" s="61">
        <v>448.96</v>
      </c>
      <c r="C18" s="61">
        <v>336.72</v>
      </c>
      <c r="D18" s="61">
        <v>561.20000000000005</v>
      </c>
      <c r="E18" s="61">
        <v>1122.4000000000001</v>
      </c>
      <c r="F18" s="61">
        <v>1234.6400000000001</v>
      </c>
      <c r="G18" s="61">
        <v>897.92</v>
      </c>
      <c r="H18" s="61">
        <v>448.96</v>
      </c>
      <c r="I18" s="61">
        <v>336.72</v>
      </c>
      <c r="J18" s="61">
        <v>1122.4000000000001</v>
      </c>
      <c r="K18" s="61">
        <v>1234.6400000000001</v>
      </c>
      <c r="L18" s="61">
        <v>2020.32</v>
      </c>
      <c r="M18" s="61">
        <v>1459.12</v>
      </c>
      <c r="N18" s="62">
        <f t="shared" ref="N18:N23" si="5">SUM(B18:M18)</f>
        <v>11224</v>
      </c>
      <c r="O18" s="33"/>
      <c r="P18" s="1"/>
      <c r="Q18" s="1"/>
      <c r="R18" s="2"/>
      <c r="S18" s="3"/>
      <c r="T18" s="3"/>
      <c r="U18" s="2"/>
      <c r="V18" s="2"/>
      <c r="W18" s="2"/>
      <c r="X18" s="3"/>
      <c r="Y18" s="1"/>
    </row>
    <row r="19" spans="1:25" x14ac:dyDescent="0.25">
      <c r="A19" s="29" t="s">
        <v>196</v>
      </c>
      <c r="B19" s="25">
        <f>SUM(B17:B18)</f>
        <v>637.52</v>
      </c>
      <c r="C19" s="25">
        <f t="shared" ref="C19:N19" si="6">SUM(C17:C18)</f>
        <v>650.98</v>
      </c>
      <c r="D19" s="25">
        <f t="shared" si="6"/>
        <v>1189.73</v>
      </c>
      <c r="E19" s="25">
        <f t="shared" si="6"/>
        <v>1813.7800000000002</v>
      </c>
      <c r="F19" s="25">
        <f t="shared" si="6"/>
        <v>1737.46</v>
      </c>
      <c r="G19" s="25">
        <f t="shared" si="6"/>
        <v>1149.33</v>
      </c>
      <c r="H19" s="25">
        <f t="shared" si="6"/>
        <v>637.52</v>
      </c>
      <c r="I19" s="25">
        <f t="shared" si="6"/>
        <v>965.25</v>
      </c>
      <c r="J19" s="25">
        <f t="shared" si="6"/>
        <v>1813.7800000000002</v>
      </c>
      <c r="K19" s="25">
        <f t="shared" si="6"/>
        <v>2365.9899999999998</v>
      </c>
      <c r="L19" s="25">
        <f t="shared" si="6"/>
        <v>2837.4</v>
      </c>
      <c r="M19" s="25">
        <f t="shared" si="6"/>
        <v>1710.53</v>
      </c>
      <c r="N19" s="25">
        <f t="shared" si="6"/>
        <v>17509.27</v>
      </c>
      <c r="O19" s="69">
        <f>(N19-S8)/N19</f>
        <v>-0.13085868228658315</v>
      </c>
      <c r="P19" s="1"/>
      <c r="Q19" s="1"/>
      <c r="R19" s="2"/>
      <c r="S19" s="3"/>
      <c r="T19" s="3"/>
      <c r="U19" s="2"/>
      <c r="V19" s="2"/>
      <c r="W19" s="2"/>
      <c r="X19" s="2"/>
      <c r="Y19" s="1"/>
    </row>
    <row r="20" spans="1:25" x14ac:dyDescent="0.25">
      <c r="A20" s="8" t="s">
        <v>38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62">
        <f t="shared" si="5"/>
        <v>0</v>
      </c>
      <c r="O20" s="26"/>
      <c r="P20" s="1"/>
      <c r="Q20" s="1"/>
      <c r="R20" s="3"/>
      <c r="S20" s="3"/>
      <c r="T20" s="3"/>
      <c r="U20" s="3"/>
      <c r="V20" s="3"/>
      <c r="W20" s="2"/>
      <c r="X20" s="3"/>
      <c r="Y20" s="1"/>
    </row>
    <row r="21" spans="1:25" x14ac:dyDescent="0.25">
      <c r="A21" s="8"/>
      <c r="B21" s="22"/>
      <c r="C21" s="22"/>
      <c r="D21" s="22"/>
      <c r="E21" s="22"/>
      <c r="F21" s="21"/>
      <c r="G21" s="21"/>
      <c r="H21" s="22"/>
      <c r="I21" s="21"/>
      <c r="J21" s="21"/>
      <c r="K21" s="21"/>
      <c r="L21" s="21"/>
      <c r="M21" s="21"/>
      <c r="N21" s="62">
        <f t="shared" si="5"/>
        <v>0</v>
      </c>
      <c r="O21" s="12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x14ac:dyDescent="0.25">
      <c r="A22" s="8" t="s">
        <v>40</v>
      </c>
      <c r="B22" s="22"/>
      <c r="C22" s="22"/>
      <c r="D22" s="22"/>
      <c r="E22" s="22"/>
      <c r="F22" s="21">
        <v>200.68</v>
      </c>
      <c r="G22" s="21">
        <v>401.36</v>
      </c>
      <c r="H22" s="21">
        <v>200.68</v>
      </c>
      <c r="I22" s="21">
        <v>332</v>
      </c>
      <c r="J22" s="21">
        <v>200.68</v>
      </c>
      <c r="K22" s="21">
        <v>420</v>
      </c>
      <c r="L22" s="21">
        <v>200.68</v>
      </c>
      <c r="M22" s="21">
        <f>200.68+932</f>
        <v>1132.68</v>
      </c>
      <c r="N22" s="62">
        <f t="shared" si="5"/>
        <v>3088.76</v>
      </c>
      <c r="O22" s="12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x14ac:dyDescent="0.25">
      <c r="A23" s="29" t="s">
        <v>41</v>
      </c>
      <c r="B23" s="25">
        <f>B10+B15+B19+B22</f>
        <v>22786.74</v>
      </c>
      <c r="C23" s="25">
        <f t="shared" ref="C23:M23" si="7">C10+C15+C19+C22</f>
        <v>27313.21</v>
      </c>
      <c r="D23" s="25">
        <f t="shared" si="7"/>
        <v>24096.22</v>
      </c>
      <c r="E23" s="25">
        <f t="shared" si="7"/>
        <v>25074.84</v>
      </c>
      <c r="F23" s="25">
        <f t="shared" si="7"/>
        <v>30950.99</v>
      </c>
      <c r="G23" s="25">
        <f t="shared" si="7"/>
        <v>26650.21</v>
      </c>
      <c r="H23" s="25">
        <f t="shared" si="7"/>
        <v>25394.940000000002</v>
      </c>
      <c r="I23" s="25">
        <f t="shared" si="7"/>
        <v>31474.47</v>
      </c>
      <c r="J23" s="25">
        <f t="shared" si="7"/>
        <v>33452.36</v>
      </c>
      <c r="K23" s="25">
        <f t="shared" si="7"/>
        <v>35615.870000000003</v>
      </c>
      <c r="L23" s="25">
        <f t="shared" si="7"/>
        <v>37470.070000000007</v>
      </c>
      <c r="M23" s="25">
        <f t="shared" si="7"/>
        <v>32994.17</v>
      </c>
      <c r="N23" s="100">
        <f t="shared" si="5"/>
        <v>353274.08999999997</v>
      </c>
      <c r="O23" s="12"/>
      <c r="P23" s="1"/>
      <c r="Q23" s="28"/>
      <c r="R23" s="1"/>
      <c r="S23" s="1"/>
      <c r="T23" s="1"/>
      <c r="U23" s="1"/>
      <c r="V23" s="1"/>
      <c r="W23" s="1"/>
      <c r="X23" s="1"/>
      <c r="Y23" s="1"/>
    </row>
    <row r="24" spans="1:25" x14ac:dyDescent="0.25">
      <c r="A24" s="8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12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20.25" x14ac:dyDescent="0.3">
      <c r="A25" s="83" t="s">
        <v>42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4">
        <v>0</v>
      </c>
      <c r="O25" s="12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x14ac:dyDescent="0.25">
      <c r="A26" s="29" t="s">
        <v>197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4"/>
      <c r="O26" s="12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x14ac:dyDescent="0.25">
      <c r="A27" s="65" t="s">
        <v>198</v>
      </c>
      <c r="B27" s="61">
        <f t="shared" ref="B27:M27" si="8">(B7/$S$5)*$S$6+B53</f>
        <v>1421.2734454384627</v>
      </c>
      <c r="C27" s="61">
        <f t="shared" si="8"/>
        <v>1190.9539879041517</v>
      </c>
      <c r="D27" s="61">
        <f t="shared" si="8"/>
        <v>1651.5929029727733</v>
      </c>
      <c r="E27" s="61">
        <f t="shared" si="8"/>
        <v>2803.1858059455467</v>
      </c>
      <c r="F27" s="61">
        <f t="shared" si="8"/>
        <v>3033.5052634798576</v>
      </c>
      <c r="G27" s="61">
        <f t="shared" si="8"/>
        <v>2342.5468908769253</v>
      </c>
      <c r="H27" s="61">
        <f t="shared" si="8"/>
        <v>1421.2734454384627</v>
      </c>
      <c r="I27" s="61">
        <f t="shared" si="8"/>
        <v>1443.3639879041518</v>
      </c>
      <c r="J27" s="61">
        <f t="shared" si="8"/>
        <v>2803.1858059455467</v>
      </c>
      <c r="K27" s="61">
        <f t="shared" si="8"/>
        <v>3033.5052634798576</v>
      </c>
      <c r="L27" s="61">
        <f t="shared" si="8"/>
        <v>4645.7370815212516</v>
      </c>
      <c r="M27" s="61">
        <f t="shared" si="8"/>
        <v>3494.1441785484785</v>
      </c>
      <c r="N27" s="61">
        <f>SUM(B27:M27)</f>
        <v>29284.268059455466</v>
      </c>
      <c r="O27" s="10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x14ac:dyDescent="0.25">
      <c r="A28" s="65" t="s">
        <v>199</v>
      </c>
      <c r="B28" s="19">
        <f>(B7-B27)/B7</f>
        <v>0.32356066772398279</v>
      </c>
      <c r="C28" s="19">
        <f t="shared" ref="C28:N28" si="9">(C7-C27)/C7</f>
        <v>0.24423701293657832</v>
      </c>
      <c r="D28" s="19">
        <f t="shared" si="9"/>
        <v>0.37115473978625663</v>
      </c>
      <c r="E28" s="19">
        <f t="shared" si="9"/>
        <v>0.4663424308755465</v>
      </c>
      <c r="F28" s="19">
        <f t="shared" si="9"/>
        <v>0.47499588729091469</v>
      </c>
      <c r="G28" s="19">
        <f t="shared" si="9"/>
        <v>0.44254539484440958</v>
      </c>
      <c r="H28" s="19">
        <f t="shared" si="9"/>
        <v>0.32356066772398279</v>
      </c>
      <c r="I28" s="19">
        <f t="shared" si="9"/>
        <v>8.406110563693299E-2</v>
      </c>
      <c r="J28" s="19">
        <f t="shared" si="9"/>
        <v>0.4663424308755465</v>
      </c>
      <c r="K28" s="19">
        <f t="shared" si="9"/>
        <v>0.47499588729091469</v>
      </c>
      <c r="L28" s="19">
        <f t="shared" si="9"/>
        <v>0.50864810491778945</v>
      </c>
      <c r="M28" s="19">
        <f t="shared" si="9"/>
        <v>0.48830888546317142</v>
      </c>
      <c r="N28" s="19">
        <f t="shared" si="9"/>
        <v>0.44249962763611905</v>
      </c>
      <c r="O28" s="12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x14ac:dyDescent="0.25">
      <c r="A29" s="87" t="s">
        <v>200</v>
      </c>
      <c r="B29" s="61">
        <f t="shared" ref="B29:M29" si="10">(B8/$S$5)*$S$6+B49</f>
        <v>664.5732696822472</v>
      </c>
      <c r="C29" s="61">
        <f t="shared" si="10"/>
        <v>2368.8060923754342</v>
      </c>
      <c r="D29" s="61">
        <f t="shared" si="10"/>
        <v>526.38071822190466</v>
      </c>
      <c r="E29" s="61">
        <f t="shared" si="10"/>
        <v>434.25381214793646</v>
      </c>
      <c r="F29" s="61">
        <f t="shared" si="10"/>
        <v>411.22098945474931</v>
      </c>
      <c r="G29" s="61">
        <f t="shared" si="10"/>
        <v>733.66735306302826</v>
      </c>
      <c r="H29" s="61">
        <f t="shared" si="10"/>
        <v>756.70017575621534</v>
      </c>
      <c r="I29" s="61">
        <f t="shared" si="10"/>
        <v>1090.3839879041518</v>
      </c>
      <c r="J29" s="61">
        <f t="shared" si="10"/>
        <v>825.79864383577683</v>
      </c>
      <c r="K29" s="61">
        <f t="shared" si="10"/>
        <v>572.44636360827894</v>
      </c>
      <c r="L29" s="61">
        <f t="shared" si="10"/>
        <v>503.35228022749783</v>
      </c>
      <c r="M29" s="61">
        <f t="shared" si="10"/>
        <v>549.41354091509174</v>
      </c>
      <c r="N29" s="61">
        <f>SUM(B29:M29)</f>
        <v>9436.9972271923125</v>
      </c>
      <c r="O29" s="12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x14ac:dyDescent="0.25">
      <c r="A30" s="87" t="s">
        <v>201</v>
      </c>
      <c r="B30" s="19">
        <f>(B8-B29)/B8</f>
        <v>0.29711975707853283</v>
      </c>
      <c r="C30" s="19">
        <f t="shared" ref="C30:N30" si="11">(C8-C29)/C8</f>
        <v>-1.3734818516231317</v>
      </c>
      <c r="D30" s="19">
        <f t="shared" si="11"/>
        <v>0.16491247723905791</v>
      </c>
      <c r="E30" s="19">
        <f t="shared" si="11"/>
        <v>-3.3396345123831397E-2</v>
      </c>
      <c r="F30" s="19">
        <f t="shared" si="11"/>
        <v>-0.11839046331080344</v>
      </c>
      <c r="G30" s="19">
        <f t="shared" si="11"/>
        <v>0.33489198148545135</v>
      </c>
      <c r="H30" s="19">
        <f t="shared" si="11"/>
        <v>0.34519416087069565</v>
      </c>
      <c r="I30" s="19">
        <f t="shared" si="11"/>
        <v>0.30805734888652209</v>
      </c>
      <c r="J30" s="19">
        <f t="shared" si="11"/>
        <v>0.37115546463921961</v>
      </c>
      <c r="K30" s="19">
        <f t="shared" si="11"/>
        <v>0.22157445218417582</v>
      </c>
      <c r="L30" s="19">
        <f t="shared" si="11"/>
        <v>0.12886194384400085</v>
      </c>
      <c r="M30" s="19">
        <f t="shared" si="11"/>
        <v>0.19542286718347576</v>
      </c>
      <c r="N30" s="19">
        <f t="shared" si="11"/>
        <v>0.10171316806903845</v>
      </c>
      <c r="O30" s="12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x14ac:dyDescent="0.25">
      <c r="A31" s="88" t="s">
        <v>202</v>
      </c>
      <c r="B31" s="61">
        <f t="shared" ref="B31:M31" si="12">(B9/$S$5)*$S$6+(B82*0.25)</f>
        <v>1694.5229544331157</v>
      </c>
      <c r="C31" s="61">
        <f t="shared" si="12"/>
        <v>1510.2647575863989</v>
      </c>
      <c r="D31" s="61">
        <f t="shared" si="12"/>
        <v>1510.2647575863989</v>
      </c>
      <c r="E31" s="61">
        <f t="shared" si="12"/>
        <v>1878.7767665810522</v>
      </c>
      <c r="F31" s="61">
        <f t="shared" si="12"/>
        <v>2247.2843908769255</v>
      </c>
      <c r="G31" s="61">
        <f t="shared" si="12"/>
        <v>2247.2843908769255</v>
      </c>
      <c r="H31" s="61">
        <f t="shared" si="12"/>
        <v>1510.2647575863989</v>
      </c>
      <c r="I31" s="61">
        <f t="shared" si="12"/>
        <v>1476.0184454384625</v>
      </c>
      <c r="J31" s="61">
        <f t="shared" si="12"/>
        <v>1878.7767665810522</v>
      </c>
      <c r="K31" s="61">
        <f t="shared" si="12"/>
        <v>2063.0305787289885</v>
      </c>
      <c r="L31" s="61">
        <f t="shared" si="12"/>
        <v>3168.5622210141687</v>
      </c>
      <c r="M31" s="61">
        <f t="shared" si="12"/>
        <v>2397.2918908769252</v>
      </c>
      <c r="N31" s="61">
        <f>SUM(B31:M31)</f>
        <v>23582.342678166813</v>
      </c>
      <c r="O31" s="12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x14ac:dyDescent="0.25">
      <c r="A32" s="88" t="s">
        <v>203</v>
      </c>
      <c r="B32" s="19">
        <f>(B9-B31)/B9</f>
        <v>0.42393731406698631</v>
      </c>
      <c r="C32" s="19">
        <f t="shared" ref="C32:N32" si="13">(C9-C31)/C9</f>
        <v>0.40100472465468662</v>
      </c>
      <c r="D32" s="19">
        <f t="shared" si="13"/>
        <v>0.40100472465468662</v>
      </c>
      <c r="E32" s="19">
        <f t="shared" si="13"/>
        <v>0.44113631273282244</v>
      </c>
      <c r="F32" s="19">
        <f t="shared" si="13"/>
        <v>0.46521495997902884</v>
      </c>
      <c r="G32" s="19">
        <f t="shared" si="13"/>
        <v>0.46521495997902884</v>
      </c>
      <c r="H32" s="19">
        <f t="shared" si="13"/>
        <v>0.40100472465468662</v>
      </c>
      <c r="I32" s="19">
        <f t="shared" si="13"/>
        <v>0.29750539217915173</v>
      </c>
      <c r="J32" s="19">
        <f t="shared" si="13"/>
        <v>0.44113631273282244</v>
      </c>
      <c r="K32" s="19">
        <f t="shared" si="13"/>
        <v>0.45451333190666615</v>
      </c>
      <c r="L32" s="19">
        <f t="shared" si="13"/>
        <v>0.49732011584109875</v>
      </c>
      <c r="M32" s="19">
        <f t="shared" si="13"/>
        <v>0.42951775707199408</v>
      </c>
      <c r="N32" s="19">
        <f t="shared" si="13"/>
        <v>0.43881254540652986</v>
      </c>
      <c r="O32" s="12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x14ac:dyDescent="0.25">
      <c r="A33" s="8" t="s">
        <v>204</v>
      </c>
      <c r="B33" s="30">
        <f>B27+B29+B31</f>
        <v>3780.3696695538256</v>
      </c>
      <c r="C33" s="30">
        <f t="shared" ref="C33:N33" si="14">C27+C29+C31</f>
        <v>5070.0248378659853</v>
      </c>
      <c r="D33" s="30">
        <f t="shared" si="14"/>
        <v>3688.2383787810768</v>
      </c>
      <c r="E33" s="30">
        <f t="shared" si="14"/>
        <v>5116.2163846745352</v>
      </c>
      <c r="F33" s="30">
        <f t="shared" si="14"/>
        <v>5692.0106438115326</v>
      </c>
      <c r="G33" s="30">
        <f t="shared" si="14"/>
        <v>5323.4986348168786</v>
      </c>
      <c r="H33" s="30">
        <f t="shared" si="14"/>
        <v>3688.2383787810768</v>
      </c>
      <c r="I33" s="30">
        <f t="shared" si="14"/>
        <v>4009.7664212467662</v>
      </c>
      <c r="J33" s="30">
        <f t="shared" si="14"/>
        <v>5507.7612163623762</v>
      </c>
      <c r="K33" s="30">
        <f t="shared" si="14"/>
        <v>5668.9822058171249</v>
      </c>
      <c r="L33" s="30">
        <f t="shared" si="14"/>
        <v>8317.6515827629173</v>
      </c>
      <c r="M33" s="30">
        <f t="shared" si="14"/>
        <v>6440.8496103404959</v>
      </c>
      <c r="N33" s="30">
        <f t="shared" si="14"/>
        <v>62303.607964814597</v>
      </c>
      <c r="O33" s="12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x14ac:dyDescent="0.25">
      <c r="A34" s="15" t="s">
        <v>205</v>
      </c>
      <c r="B34" s="86">
        <f>(B10-B33)/B10</f>
        <v>0.36869366274607673</v>
      </c>
      <c r="C34" s="86">
        <f t="shared" ref="C34:N34" si="15">(C10-C33)/C10</f>
        <v>4.9390036748412289E-3</v>
      </c>
      <c r="D34" s="86">
        <f t="shared" si="15"/>
        <v>0.36168112446568007</v>
      </c>
      <c r="E34" s="86">
        <f t="shared" si="15"/>
        <v>0.43371987091279091</v>
      </c>
      <c r="F34" s="86">
        <f t="shared" si="15"/>
        <v>0.44993939450814679</v>
      </c>
      <c r="G34" s="86">
        <f t="shared" si="15"/>
        <v>0.44007494753449078</v>
      </c>
      <c r="H34" s="86">
        <f t="shared" si="15"/>
        <v>0.36168112446568018</v>
      </c>
      <c r="I34" s="86">
        <f t="shared" si="15"/>
        <v>0.23663773185447567</v>
      </c>
      <c r="J34" s="86">
        <f t="shared" si="15"/>
        <v>0.44521611961183832</v>
      </c>
      <c r="K34" s="86">
        <f t="shared" si="15"/>
        <v>0.44937013867124559</v>
      </c>
      <c r="L34" s="86">
        <f t="shared" si="15"/>
        <v>0.49084414068159732</v>
      </c>
      <c r="M34" s="86">
        <f t="shared" si="15"/>
        <v>0.45014388192112692</v>
      </c>
      <c r="N34" s="86">
        <f t="shared" si="15"/>
        <v>0.40694617177542713</v>
      </c>
      <c r="O34" s="12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x14ac:dyDescent="0.25"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4"/>
      <c r="O35" s="12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x14ac:dyDescent="0.25">
      <c r="A36" s="8" t="s">
        <v>206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4"/>
      <c r="O36" s="12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30" customHeight="1" x14ac:dyDescent="0.25">
      <c r="A37" s="73" t="s">
        <v>207</v>
      </c>
      <c r="B37" s="61">
        <f t="shared" ref="B37:M37" si="16">(B12*$S$6)+B136</f>
        <v>11567.973709146236</v>
      </c>
      <c r="C37" s="61">
        <f t="shared" si="16"/>
        <v>14871.446617893345</v>
      </c>
      <c r="D37" s="61">
        <f t="shared" si="16"/>
        <v>12243.396497052405</v>
      </c>
      <c r="E37" s="61">
        <f t="shared" si="16"/>
        <v>10783.133833442314</v>
      </c>
      <c r="F37" s="61">
        <f t="shared" si="16"/>
        <v>13028.183954283257</v>
      </c>
      <c r="G37" s="61">
        <f t="shared" si="16"/>
        <v>11561.609039821553</v>
      </c>
      <c r="H37" s="61">
        <f t="shared" si="16"/>
        <v>13491.056888148192</v>
      </c>
      <c r="I37" s="61">
        <f t="shared" si="16"/>
        <v>17118.206717071596</v>
      </c>
      <c r="J37" s="61">
        <f t="shared" si="16"/>
        <v>15146.013001015082</v>
      </c>
      <c r="K37" s="61">
        <f t="shared" si="16"/>
        <v>15707.869405799513</v>
      </c>
      <c r="L37" s="61">
        <f t="shared" si="16"/>
        <v>12681.819284958572</v>
      </c>
      <c r="M37" s="61">
        <f t="shared" si="16"/>
        <v>12746.438086553382</v>
      </c>
      <c r="N37" s="102">
        <f>SUM(B37:M37)</f>
        <v>160947.14703518545</v>
      </c>
      <c r="O37" s="12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x14ac:dyDescent="0.25">
      <c r="A38" s="73" t="s">
        <v>208</v>
      </c>
      <c r="B38" s="64">
        <f>(B15-B37)/B15</f>
        <v>0.28420655160733771</v>
      </c>
      <c r="C38" s="64">
        <f t="shared" ref="C38:N38" si="17">(C15-C37)/C15</f>
        <v>0.31045490628786587</v>
      </c>
      <c r="D38" s="64">
        <f t="shared" si="17"/>
        <v>0.28520072481484576</v>
      </c>
      <c r="E38" s="64">
        <f t="shared" si="17"/>
        <v>0.24202716146158279</v>
      </c>
      <c r="F38" s="64">
        <f t="shared" si="17"/>
        <v>0.30199476480517123</v>
      </c>
      <c r="G38" s="64">
        <f t="shared" si="17"/>
        <v>0.25849095434700148</v>
      </c>
      <c r="H38" s="64">
        <f t="shared" si="17"/>
        <v>0.28157625009262144</v>
      </c>
      <c r="I38" s="64">
        <f t="shared" si="17"/>
        <v>0.31319621026455563</v>
      </c>
      <c r="J38" s="64">
        <f t="shared" si="17"/>
        <v>0.29586636809360223</v>
      </c>
      <c r="K38" s="64">
        <f t="shared" si="17"/>
        <v>0.30293912888857127</v>
      </c>
      <c r="L38" s="64">
        <f t="shared" si="17"/>
        <v>0.29918554247257123</v>
      </c>
      <c r="M38" s="64">
        <f t="shared" si="17"/>
        <v>0.3086587656434101</v>
      </c>
      <c r="N38" s="64">
        <f t="shared" si="17"/>
        <v>0.29291450415915793</v>
      </c>
      <c r="O38" s="12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9.5" customHeight="1" x14ac:dyDescent="0.25">
      <c r="A39" s="29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4"/>
      <c r="O39" s="12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x14ac:dyDescent="0.25">
      <c r="A40" s="76" t="s">
        <v>209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4"/>
      <c r="O40" s="12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31.5" x14ac:dyDescent="0.25">
      <c r="A41" s="76" t="s">
        <v>210</v>
      </c>
      <c r="B41" s="61">
        <f>B132+B144</f>
        <v>1744.04</v>
      </c>
      <c r="C41" s="61">
        <f t="shared" ref="C41:M41" si="18">C132+C144</f>
        <v>1881.04</v>
      </c>
      <c r="D41" s="61">
        <f t="shared" si="18"/>
        <v>1747.03</v>
      </c>
      <c r="E41" s="61">
        <f t="shared" si="18"/>
        <v>2031.02</v>
      </c>
      <c r="F41" s="61">
        <f t="shared" si="18"/>
        <v>1939.02</v>
      </c>
      <c r="G41" s="61">
        <f t="shared" si="18"/>
        <v>2100.0500000000002</v>
      </c>
      <c r="H41" s="61">
        <f t="shared" si="18"/>
        <v>1700.05</v>
      </c>
      <c r="I41" s="61">
        <f t="shared" si="18"/>
        <v>1634.06</v>
      </c>
      <c r="J41" s="61">
        <f t="shared" si="18"/>
        <v>1447.0700000000002</v>
      </c>
      <c r="K41" s="61">
        <f t="shared" si="18"/>
        <v>1294.03</v>
      </c>
      <c r="L41" s="61">
        <f t="shared" si="18"/>
        <v>1195.02</v>
      </c>
      <c r="M41" s="61">
        <f t="shared" si="18"/>
        <v>1088.08</v>
      </c>
      <c r="N41" s="102">
        <f>SUM(B41:M41)</f>
        <v>19800.510000000002</v>
      </c>
      <c r="O41" s="12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x14ac:dyDescent="0.25">
      <c r="A42" s="29" t="s">
        <v>211</v>
      </c>
      <c r="B42" s="64">
        <f>(B19-B41)/B19</f>
        <v>-1.7356631948801606</v>
      </c>
      <c r="C42" s="64">
        <f t="shared" ref="C42:N42" si="19">(C19-C41)/C19</f>
        <v>-1.8895511382838182</v>
      </c>
      <c r="D42" s="64">
        <f t="shared" si="19"/>
        <v>-0.46842560917182885</v>
      </c>
      <c r="E42" s="64">
        <f t="shared" si="19"/>
        <v>-0.11977196793436898</v>
      </c>
      <c r="F42" s="64">
        <f t="shared" si="19"/>
        <v>-0.11600842609326255</v>
      </c>
      <c r="G42" s="64">
        <f t="shared" si="19"/>
        <v>-0.8271949744633833</v>
      </c>
      <c r="H42" s="64">
        <f t="shared" si="19"/>
        <v>-1.6666614380725311</v>
      </c>
      <c r="I42" s="64">
        <f t="shared" si="19"/>
        <v>-0.69288785288785282</v>
      </c>
      <c r="J42" s="64">
        <f t="shared" si="19"/>
        <v>0.20217997772607482</v>
      </c>
      <c r="K42" s="64">
        <f t="shared" si="19"/>
        <v>0.45307038491286944</v>
      </c>
      <c r="L42" s="64">
        <f t="shared" si="19"/>
        <v>0.57883273419327552</v>
      </c>
      <c r="M42" s="64">
        <f t="shared" si="19"/>
        <v>0.36389306238417335</v>
      </c>
      <c r="N42" s="64">
        <f t="shared" si="19"/>
        <v>-0.13085868228658315</v>
      </c>
      <c r="O42" s="12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x14ac:dyDescent="0.25">
      <c r="A43" s="29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4"/>
      <c r="O43" s="12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x14ac:dyDescent="0.25">
      <c r="A44" s="8" t="s">
        <v>83</v>
      </c>
      <c r="B44" s="84">
        <f>B33+B37+B41</f>
        <v>17092.383378700062</v>
      </c>
      <c r="C44" s="84">
        <f t="shared" ref="C44:N44" si="20">C33+C37+C41</f>
        <v>21822.511455759333</v>
      </c>
      <c r="D44" s="84">
        <f t="shared" si="20"/>
        <v>17678.664875833481</v>
      </c>
      <c r="E44" s="84">
        <f t="shared" si="20"/>
        <v>17930.370218116848</v>
      </c>
      <c r="F44" s="84">
        <f t="shared" si="20"/>
        <v>20659.21459809479</v>
      </c>
      <c r="G44" s="84">
        <f t="shared" si="20"/>
        <v>18985.157674638431</v>
      </c>
      <c r="H44" s="84">
        <f t="shared" si="20"/>
        <v>18879.345266929267</v>
      </c>
      <c r="I44" s="84">
        <f t="shared" si="20"/>
        <v>22762.033138318362</v>
      </c>
      <c r="J44" s="84">
        <f t="shared" si="20"/>
        <v>22100.84421737746</v>
      </c>
      <c r="K44" s="84">
        <f t="shared" si="20"/>
        <v>22670.881611616634</v>
      </c>
      <c r="L44" s="84">
        <f t="shared" si="20"/>
        <v>22194.490867721488</v>
      </c>
      <c r="M44" s="84">
        <f t="shared" si="20"/>
        <v>20275.367696893882</v>
      </c>
      <c r="N44" s="84">
        <f t="shared" si="20"/>
        <v>243051.26500000007</v>
      </c>
      <c r="O44" s="12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x14ac:dyDescent="0.25">
      <c r="A45" s="8" t="s">
        <v>84</v>
      </c>
      <c r="B45" s="89">
        <f>B23-B44</f>
        <v>5694.3566212999394</v>
      </c>
      <c r="C45" s="89">
        <f t="shared" ref="C45:N45" si="21">C23-C44</f>
        <v>5490.6985442406658</v>
      </c>
      <c r="D45" s="89">
        <f t="shared" si="21"/>
        <v>6417.5551241665198</v>
      </c>
      <c r="E45" s="89">
        <f t="shared" si="21"/>
        <v>7144.4697818831519</v>
      </c>
      <c r="F45" s="89">
        <f t="shared" si="21"/>
        <v>10291.775401905212</v>
      </c>
      <c r="G45" s="89">
        <f t="shared" si="21"/>
        <v>7665.0523253615684</v>
      </c>
      <c r="H45" s="89">
        <f t="shared" si="21"/>
        <v>6515.5947330707349</v>
      </c>
      <c r="I45" s="89">
        <f t="shared" si="21"/>
        <v>8712.4368616816391</v>
      </c>
      <c r="J45" s="89">
        <f t="shared" si="21"/>
        <v>11351.51578262254</v>
      </c>
      <c r="K45" s="89">
        <f t="shared" si="21"/>
        <v>12944.988388383368</v>
      </c>
      <c r="L45" s="89">
        <f t="shared" si="21"/>
        <v>15275.579132278519</v>
      </c>
      <c r="M45" s="89">
        <f t="shared" si="21"/>
        <v>12718.802303106117</v>
      </c>
      <c r="N45" s="89">
        <f t="shared" si="21"/>
        <v>110222.8249999999</v>
      </c>
      <c r="O45" s="12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x14ac:dyDescent="0.25">
      <c r="A46" s="15" t="s">
        <v>85</v>
      </c>
      <c r="B46" s="85">
        <f>B45/B23</f>
        <v>0.24989781870069783</v>
      </c>
      <c r="C46" s="85">
        <f t="shared" ref="C46:N46" si="22">C45/C23</f>
        <v>0.20102721519150132</v>
      </c>
      <c r="D46" s="85">
        <f t="shared" si="22"/>
        <v>0.26633036734253418</v>
      </c>
      <c r="E46" s="85">
        <f t="shared" si="22"/>
        <v>0.28492583728881826</v>
      </c>
      <c r="F46" s="85">
        <f t="shared" si="22"/>
        <v>0.33251845585246903</v>
      </c>
      <c r="G46" s="85">
        <f t="shared" si="22"/>
        <v>0.2876169578161511</v>
      </c>
      <c r="H46" s="85">
        <f t="shared" si="22"/>
        <v>0.25657058977381852</v>
      </c>
      <c r="I46" s="85">
        <f t="shared" si="22"/>
        <v>0.27680964482266546</v>
      </c>
      <c r="J46" s="85">
        <f t="shared" si="22"/>
        <v>0.33933378041556828</v>
      </c>
      <c r="K46" s="85">
        <f t="shared" si="22"/>
        <v>0.36346124321498724</v>
      </c>
      <c r="L46" s="85">
        <f t="shared" si="22"/>
        <v>0.40767415519315858</v>
      </c>
      <c r="M46" s="85">
        <f t="shared" si="22"/>
        <v>0.38548635419851801</v>
      </c>
      <c r="N46" s="85">
        <f t="shared" si="22"/>
        <v>0.31200370511180114</v>
      </c>
      <c r="O46" s="12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x14ac:dyDescent="0.25">
      <c r="A47" s="29"/>
      <c r="O47" s="12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x14ac:dyDescent="0.25">
      <c r="A48" s="8" t="s">
        <v>86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12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x14ac:dyDescent="0.25">
      <c r="A49" s="87" t="s">
        <v>87</v>
      </c>
      <c r="B49" s="6">
        <v>250</v>
      </c>
      <c r="C49" s="18">
        <v>1931.2</v>
      </c>
      <c r="D49" s="6">
        <v>250</v>
      </c>
      <c r="E49" s="6">
        <v>250</v>
      </c>
      <c r="F49" s="6">
        <v>250</v>
      </c>
      <c r="G49" s="6">
        <v>250</v>
      </c>
      <c r="H49" s="6">
        <v>250</v>
      </c>
      <c r="I49" s="6">
        <v>399.43</v>
      </c>
      <c r="J49" s="6">
        <v>250</v>
      </c>
      <c r="K49" s="6">
        <v>250</v>
      </c>
      <c r="L49" s="6">
        <v>250</v>
      </c>
      <c r="M49" s="6">
        <v>250</v>
      </c>
      <c r="N49" s="17">
        <f>SUM(B49:M49)</f>
        <v>4830.6299999999992</v>
      </c>
      <c r="O49" s="12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x14ac:dyDescent="0.25">
      <c r="A50" s="87" t="s">
        <v>212</v>
      </c>
      <c r="B50" s="6">
        <f>B49*-1</f>
        <v>-250</v>
      </c>
      <c r="C50" s="6">
        <f t="shared" ref="C50:M50" si="23">C49*-1</f>
        <v>-1931.2</v>
      </c>
      <c r="D50" s="6">
        <f t="shared" si="23"/>
        <v>-250</v>
      </c>
      <c r="E50" s="6">
        <f t="shared" si="23"/>
        <v>-250</v>
      </c>
      <c r="F50" s="6">
        <f t="shared" si="23"/>
        <v>-250</v>
      </c>
      <c r="G50" s="6">
        <f t="shared" si="23"/>
        <v>-250</v>
      </c>
      <c r="H50" s="6">
        <f t="shared" si="23"/>
        <v>-250</v>
      </c>
      <c r="I50" s="6">
        <f t="shared" si="23"/>
        <v>-399.43</v>
      </c>
      <c r="J50" s="6">
        <f t="shared" si="23"/>
        <v>-250</v>
      </c>
      <c r="K50" s="6">
        <f t="shared" si="23"/>
        <v>-250</v>
      </c>
      <c r="L50" s="6">
        <f t="shared" si="23"/>
        <v>-250</v>
      </c>
      <c r="M50" s="6">
        <f t="shared" si="23"/>
        <v>-250</v>
      </c>
      <c r="N50" s="17">
        <f t="shared" ref="N50:N54" si="24">SUM(B50:M50)</f>
        <v>-4830.6299999999992</v>
      </c>
      <c r="O50" s="12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x14ac:dyDescent="0.25">
      <c r="A51" s="8" t="s">
        <v>88</v>
      </c>
      <c r="B51" s="6"/>
      <c r="C51" s="6"/>
      <c r="D51" s="6">
        <v>200</v>
      </c>
      <c r="E51" s="6">
        <v>100</v>
      </c>
      <c r="F51" s="11">
        <v>250</v>
      </c>
      <c r="G51" s="11">
        <v>112.24</v>
      </c>
      <c r="H51" s="11"/>
      <c r="I51" s="11">
        <v>450</v>
      </c>
      <c r="J51" s="11">
        <v>50</v>
      </c>
      <c r="K51" s="11">
        <v>25</v>
      </c>
      <c r="L51" s="11"/>
      <c r="M51" s="11">
        <v>200</v>
      </c>
      <c r="N51" s="17">
        <f t="shared" si="24"/>
        <v>1387.24</v>
      </c>
      <c r="O51" s="12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x14ac:dyDescent="0.25">
      <c r="A52" s="8" t="s">
        <v>89</v>
      </c>
      <c r="B52" s="6"/>
      <c r="C52" s="6"/>
      <c r="D52" s="6">
        <v>51.55</v>
      </c>
      <c r="E52" s="6">
        <v>58.65</v>
      </c>
      <c r="F52" s="6">
        <v>40.549999999999997</v>
      </c>
      <c r="G52" s="11">
        <v>76.55</v>
      </c>
      <c r="H52" s="11">
        <v>42.97</v>
      </c>
      <c r="I52" s="11">
        <v>86.55</v>
      </c>
      <c r="J52" s="11">
        <v>55.65</v>
      </c>
      <c r="K52" s="11">
        <v>44.55</v>
      </c>
      <c r="L52" s="11">
        <v>3.9</v>
      </c>
      <c r="M52" s="11"/>
      <c r="N52" s="17">
        <f t="shared" si="24"/>
        <v>460.91999999999996</v>
      </c>
      <c r="O52" s="12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x14ac:dyDescent="0.25">
      <c r="A53" s="65" t="s">
        <v>90</v>
      </c>
      <c r="B53" s="6">
        <v>500</v>
      </c>
      <c r="C53" s="6">
        <v>500</v>
      </c>
      <c r="D53" s="6">
        <v>500</v>
      </c>
      <c r="E53" s="6">
        <v>500</v>
      </c>
      <c r="F53" s="6">
        <v>500</v>
      </c>
      <c r="G53" s="6">
        <v>500</v>
      </c>
      <c r="H53" s="6">
        <v>500</v>
      </c>
      <c r="I53" s="6">
        <v>752.41</v>
      </c>
      <c r="J53" s="6">
        <v>500</v>
      </c>
      <c r="K53" s="6">
        <v>500</v>
      </c>
      <c r="L53" s="6">
        <v>500</v>
      </c>
      <c r="M53" s="6">
        <v>500</v>
      </c>
      <c r="N53" s="17">
        <f t="shared" si="24"/>
        <v>6252.41</v>
      </c>
      <c r="O53" s="12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x14ac:dyDescent="0.25">
      <c r="A54" s="65" t="s">
        <v>212</v>
      </c>
      <c r="B54" s="6">
        <f>B53*-1</f>
        <v>-500</v>
      </c>
      <c r="C54" s="6">
        <f t="shared" ref="C54:M54" si="25">C53*-1</f>
        <v>-500</v>
      </c>
      <c r="D54" s="6">
        <f t="shared" si="25"/>
        <v>-500</v>
      </c>
      <c r="E54" s="6">
        <f t="shared" si="25"/>
        <v>-500</v>
      </c>
      <c r="F54" s="6">
        <f t="shared" si="25"/>
        <v>-500</v>
      </c>
      <c r="G54" s="6">
        <f t="shared" si="25"/>
        <v>-500</v>
      </c>
      <c r="H54" s="6">
        <f t="shared" si="25"/>
        <v>-500</v>
      </c>
      <c r="I54" s="6">
        <f t="shared" si="25"/>
        <v>-752.41</v>
      </c>
      <c r="J54" s="6">
        <f t="shared" si="25"/>
        <v>-500</v>
      </c>
      <c r="K54" s="6">
        <f t="shared" si="25"/>
        <v>-500</v>
      </c>
      <c r="L54" s="6">
        <f t="shared" si="25"/>
        <v>-500</v>
      </c>
      <c r="M54" s="6">
        <f t="shared" si="25"/>
        <v>-500</v>
      </c>
      <c r="N54" s="17">
        <f t="shared" si="24"/>
        <v>-6252.41</v>
      </c>
      <c r="O54" s="12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x14ac:dyDescent="0.25">
      <c r="A55" s="8" t="s">
        <v>91</v>
      </c>
      <c r="B55" s="10">
        <f>SUM(B49:B54)</f>
        <v>0</v>
      </c>
      <c r="C55" s="10">
        <f t="shared" ref="C55:N55" si="26">SUM(C49:C54)</f>
        <v>0</v>
      </c>
      <c r="D55" s="10">
        <f t="shared" si="26"/>
        <v>251.54999999999995</v>
      </c>
      <c r="E55" s="10">
        <f t="shared" si="26"/>
        <v>158.64999999999998</v>
      </c>
      <c r="F55" s="10">
        <f t="shared" si="26"/>
        <v>290.54999999999995</v>
      </c>
      <c r="G55" s="10">
        <f t="shared" si="26"/>
        <v>188.78999999999996</v>
      </c>
      <c r="H55" s="10">
        <f t="shared" si="26"/>
        <v>42.970000000000027</v>
      </c>
      <c r="I55" s="10">
        <f t="shared" si="26"/>
        <v>536.55000000000007</v>
      </c>
      <c r="J55" s="10">
        <f t="shared" si="26"/>
        <v>105.64999999999998</v>
      </c>
      <c r="K55" s="10">
        <f t="shared" si="26"/>
        <v>69.549999999999955</v>
      </c>
      <c r="L55" s="10">
        <f t="shared" si="26"/>
        <v>3.8999999999999773</v>
      </c>
      <c r="M55" s="10">
        <f t="shared" si="26"/>
        <v>200</v>
      </c>
      <c r="N55" s="10">
        <f t="shared" si="26"/>
        <v>1848.1599999999999</v>
      </c>
      <c r="O55" s="1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x14ac:dyDescent="0.25">
      <c r="A56" s="29" t="s">
        <v>92</v>
      </c>
      <c r="B56" s="11">
        <v>750</v>
      </c>
      <c r="C56" s="11">
        <v>750</v>
      </c>
      <c r="D56" s="11">
        <v>750</v>
      </c>
      <c r="E56" s="11">
        <v>750</v>
      </c>
      <c r="F56" s="11">
        <v>750</v>
      </c>
      <c r="G56" s="11">
        <v>750</v>
      </c>
      <c r="H56" s="11">
        <v>750</v>
      </c>
      <c r="I56" s="11">
        <v>750</v>
      </c>
      <c r="J56" s="11">
        <v>750</v>
      </c>
      <c r="K56" s="11">
        <v>750</v>
      </c>
      <c r="L56" s="11">
        <v>750</v>
      </c>
      <c r="M56" s="11">
        <v>826.42</v>
      </c>
      <c r="N56" s="91">
        <f>SUM(B56:M56)</f>
        <v>9076.42</v>
      </c>
      <c r="O56" s="1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x14ac:dyDescent="0.25">
      <c r="A57" s="8" t="s">
        <v>93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91">
        <f t="shared" ref="N57:N63" si="27">SUM(B57:M57)</f>
        <v>0</v>
      </c>
      <c r="O57" s="1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x14ac:dyDescent="0.25">
      <c r="A58" s="8" t="s">
        <v>94</v>
      </c>
      <c r="B58" s="6"/>
      <c r="C58" s="6"/>
      <c r="D58" s="6"/>
      <c r="E58" s="6"/>
      <c r="F58" s="6"/>
      <c r="G58" s="6">
        <v>97.96</v>
      </c>
      <c r="H58" s="6"/>
      <c r="I58" s="6"/>
      <c r="J58" s="6"/>
      <c r="K58" s="6"/>
      <c r="L58" s="6"/>
      <c r="M58" s="6"/>
      <c r="N58" s="91">
        <f t="shared" si="27"/>
        <v>97.96</v>
      </c>
      <c r="O58" s="1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x14ac:dyDescent="0.25">
      <c r="A59" s="8" t="s">
        <v>95</v>
      </c>
      <c r="B59" s="11">
        <v>103.56</v>
      </c>
      <c r="C59" s="11">
        <v>106.46</v>
      </c>
      <c r="D59" s="11">
        <v>118.44</v>
      </c>
      <c r="E59" s="11">
        <v>165.13</v>
      </c>
      <c r="F59" s="11">
        <v>167.55</v>
      </c>
      <c r="G59" s="11">
        <v>163.69999999999999</v>
      </c>
      <c r="H59" s="11">
        <v>126.24</v>
      </c>
      <c r="I59" s="11">
        <v>93.22</v>
      </c>
      <c r="J59" s="11">
        <v>109.01</v>
      </c>
      <c r="K59" s="11">
        <v>135.97</v>
      </c>
      <c r="L59" s="11">
        <v>132.30000000000001</v>
      </c>
      <c r="M59" s="11">
        <v>145.02000000000001</v>
      </c>
      <c r="N59" s="17">
        <f t="shared" si="27"/>
        <v>1566.6</v>
      </c>
      <c r="O59" s="1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x14ac:dyDescent="0.25">
      <c r="A60" s="8" t="s">
        <v>96</v>
      </c>
      <c r="B60" s="11">
        <v>5.37</v>
      </c>
      <c r="C60" s="11">
        <v>4.29</v>
      </c>
      <c r="D60" s="11">
        <v>8.0500000000000007</v>
      </c>
      <c r="E60" s="11"/>
      <c r="F60" s="11">
        <v>1.28</v>
      </c>
      <c r="G60" s="11">
        <v>6.45</v>
      </c>
      <c r="H60" s="11">
        <v>4.21</v>
      </c>
      <c r="I60" s="11">
        <v>6.89</v>
      </c>
      <c r="J60" s="11">
        <v>8.43</v>
      </c>
      <c r="K60" s="11">
        <v>4.3899999999999997</v>
      </c>
      <c r="L60" s="11"/>
      <c r="M60" s="11">
        <v>8.4499999999999993</v>
      </c>
      <c r="N60" s="17">
        <f t="shared" si="27"/>
        <v>57.81</v>
      </c>
      <c r="O60" s="1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x14ac:dyDescent="0.25">
      <c r="A61" s="8" t="s">
        <v>97</v>
      </c>
      <c r="B61" s="11">
        <v>37.72</v>
      </c>
      <c r="C61" s="11">
        <v>45.04</v>
      </c>
      <c r="D61" s="11">
        <v>57.61</v>
      </c>
      <c r="E61" s="11">
        <v>66.67</v>
      </c>
      <c r="F61" s="11">
        <v>60.27</v>
      </c>
      <c r="G61" s="11">
        <v>53.63</v>
      </c>
      <c r="H61" s="11">
        <v>68.11</v>
      </c>
      <c r="I61" s="11">
        <v>95.96</v>
      </c>
      <c r="J61" s="11">
        <v>76.75</v>
      </c>
      <c r="K61" s="11">
        <v>110.66</v>
      </c>
      <c r="L61" s="11">
        <v>75.95</v>
      </c>
      <c r="M61" s="11">
        <v>74.930000000000007</v>
      </c>
      <c r="N61" s="17">
        <f t="shared" si="27"/>
        <v>823.3</v>
      </c>
      <c r="O61" s="1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x14ac:dyDescent="0.25">
      <c r="A62" s="8" t="s">
        <v>98</v>
      </c>
      <c r="B62" s="11">
        <v>341.6</v>
      </c>
      <c r="C62" s="11">
        <v>434.18</v>
      </c>
      <c r="D62" s="11">
        <v>342.85</v>
      </c>
      <c r="E62" s="11">
        <v>287.10000000000002</v>
      </c>
      <c r="F62" s="11">
        <v>378.43</v>
      </c>
      <c r="G62" s="11">
        <v>313.27999999999997</v>
      </c>
      <c r="H62" s="11">
        <v>383.68</v>
      </c>
      <c r="I62" s="11">
        <v>497.99</v>
      </c>
      <c r="J62" s="11">
        <v>434.05</v>
      </c>
      <c r="K62" s="11">
        <v>455.43</v>
      </c>
      <c r="L62" s="11">
        <v>380.1</v>
      </c>
      <c r="M62" s="11">
        <v>361.43</v>
      </c>
      <c r="N62" s="17">
        <f t="shared" si="27"/>
        <v>4610.12</v>
      </c>
      <c r="O62" s="1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x14ac:dyDescent="0.25">
      <c r="A63" s="8" t="s">
        <v>99</v>
      </c>
      <c r="B63" s="10">
        <v>488.25</v>
      </c>
      <c r="C63" s="10">
        <v>589.97</v>
      </c>
      <c r="D63" s="10">
        <v>526.95000000000005</v>
      </c>
      <c r="E63" s="10">
        <v>518.9</v>
      </c>
      <c r="F63" s="10">
        <v>607.53</v>
      </c>
      <c r="G63" s="10">
        <v>537.05999999999995</v>
      </c>
      <c r="H63" s="10">
        <v>582.24</v>
      </c>
      <c r="I63" s="10">
        <v>694.06</v>
      </c>
      <c r="J63" s="10">
        <v>628.24</v>
      </c>
      <c r="K63" s="10">
        <v>706.45</v>
      </c>
      <c r="L63" s="10">
        <v>588.35</v>
      </c>
      <c r="M63" s="10">
        <v>589.83000000000004</v>
      </c>
      <c r="N63" s="92">
        <f t="shared" si="27"/>
        <v>7057.8300000000008</v>
      </c>
      <c r="O63" s="1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x14ac:dyDescent="0.25">
      <c r="A64" s="8" t="s">
        <v>100</v>
      </c>
      <c r="B64" s="6"/>
      <c r="C64" s="6"/>
      <c r="D64" s="6"/>
      <c r="E64" s="6"/>
      <c r="F64" s="11"/>
      <c r="G64" s="6">
        <v>74</v>
      </c>
      <c r="H64" s="11"/>
      <c r="I64" s="6"/>
      <c r="J64" s="11"/>
      <c r="K64" s="11"/>
      <c r="L64" s="11"/>
      <c r="M64" s="11">
        <v>100</v>
      </c>
      <c r="N64" s="103">
        <f>SUM(B64:M64)</f>
        <v>174</v>
      </c>
      <c r="O64" s="1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x14ac:dyDescent="0.25">
      <c r="A65" s="8" t="s">
        <v>101</v>
      </c>
      <c r="B65" s="11">
        <v>17.32</v>
      </c>
      <c r="C65" s="11">
        <v>29.63</v>
      </c>
      <c r="D65" s="11">
        <v>9.66</v>
      </c>
      <c r="E65" s="11">
        <v>151.71</v>
      </c>
      <c r="F65" s="11">
        <v>76.55</v>
      </c>
      <c r="G65" s="11">
        <v>42.97</v>
      </c>
      <c r="H65" s="11">
        <v>86.55</v>
      </c>
      <c r="I65" s="11">
        <v>29.15</v>
      </c>
      <c r="J65" s="11">
        <v>2</v>
      </c>
      <c r="K65" s="11">
        <v>44.21</v>
      </c>
      <c r="L65" s="11">
        <v>56.25</v>
      </c>
      <c r="M65" s="11">
        <v>128.94</v>
      </c>
      <c r="N65" s="103">
        <f t="shared" ref="N65:N74" si="28">SUM(B65:M65)</f>
        <v>674.94</v>
      </c>
      <c r="O65" s="1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x14ac:dyDescent="0.25">
      <c r="A66" s="8" t="s">
        <v>102</v>
      </c>
      <c r="B66" s="11">
        <v>110</v>
      </c>
      <c r="C66" s="6"/>
      <c r="D66" s="11">
        <v>168.98</v>
      </c>
      <c r="E66" s="11">
        <v>261.29000000000002</v>
      </c>
      <c r="F66" s="6"/>
      <c r="G66" s="6"/>
      <c r="H66" s="6"/>
      <c r="I66" s="6"/>
      <c r="J66" s="11">
        <v>187.75</v>
      </c>
      <c r="K66" s="6"/>
      <c r="L66" s="11">
        <v>36</v>
      </c>
      <c r="M66" s="6"/>
      <c r="N66" s="97">
        <f t="shared" si="28"/>
        <v>764.02</v>
      </c>
      <c r="O66" s="1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x14ac:dyDescent="0.25">
      <c r="A67" s="8" t="s">
        <v>103</v>
      </c>
      <c r="B67" s="6"/>
      <c r="C67" s="6"/>
      <c r="D67" s="6"/>
      <c r="E67" s="6"/>
      <c r="F67" s="6"/>
      <c r="G67" s="6"/>
      <c r="H67" s="6">
        <v>26.13</v>
      </c>
      <c r="I67" s="6"/>
      <c r="J67" s="6"/>
      <c r="K67" s="6"/>
      <c r="L67" s="11"/>
      <c r="M67" s="6"/>
      <c r="N67" s="104">
        <f t="shared" si="28"/>
        <v>26.13</v>
      </c>
      <c r="O67" s="6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x14ac:dyDescent="0.25">
      <c r="A68" s="8" t="s">
        <v>104</v>
      </c>
      <c r="B68" s="6">
        <v>175</v>
      </c>
      <c r="C68" s="6">
        <v>175</v>
      </c>
      <c r="D68" s="6">
        <v>393.84</v>
      </c>
      <c r="E68" s="6">
        <v>175</v>
      </c>
      <c r="F68" s="6">
        <v>175</v>
      </c>
      <c r="G68" s="6">
        <v>175</v>
      </c>
      <c r="H68" s="6">
        <v>175</v>
      </c>
      <c r="I68" s="6">
        <v>175</v>
      </c>
      <c r="J68" s="6">
        <v>175</v>
      </c>
      <c r="K68" s="6">
        <v>175</v>
      </c>
      <c r="L68" s="6">
        <v>175</v>
      </c>
      <c r="M68" s="6">
        <v>175</v>
      </c>
      <c r="N68" s="103">
        <f t="shared" si="28"/>
        <v>2318.84</v>
      </c>
      <c r="O68" s="1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x14ac:dyDescent="0.25">
      <c r="A69" s="8" t="s">
        <v>105</v>
      </c>
      <c r="B69" s="11">
        <v>91.66</v>
      </c>
      <c r="C69" s="11">
        <v>91.66</v>
      </c>
      <c r="D69" s="11">
        <v>91.66</v>
      </c>
      <c r="E69" s="11">
        <v>91.66</v>
      </c>
      <c r="F69" s="11">
        <v>91.66</v>
      </c>
      <c r="G69" s="11">
        <v>91.66</v>
      </c>
      <c r="H69" s="11">
        <v>91.66</v>
      </c>
      <c r="I69" s="11">
        <v>123.25</v>
      </c>
      <c r="J69" s="11">
        <v>91.66</v>
      </c>
      <c r="K69" s="11">
        <v>91.66</v>
      </c>
      <c r="L69" s="11">
        <v>91.66</v>
      </c>
      <c r="M69" s="11">
        <v>91.66</v>
      </c>
      <c r="N69" s="103">
        <f t="shared" si="28"/>
        <v>1131.51</v>
      </c>
      <c r="O69" s="1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x14ac:dyDescent="0.25">
      <c r="A70" s="8" t="s">
        <v>106</v>
      </c>
      <c r="B70" s="6">
        <v>1.07</v>
      </c>
      <c r="C70" s="6">
        <v>2.0499999999999998</v>
      </c>
      <c r="D70" s="11">
        <v>20.07</v>
      </c>
      <c r="E70" s="6">
        <v>7.06</v>
      </c>
      <c r="F70" s="6">
        <v>22.14</v>
      </c>
      <c r="G70" s="6">
        <v>30.04</v>
      </c>
      <c r="H70" s="6">
        <v>5.56</v>
      </c>
      <c r="I70" s="6">
        <v>4.87</v>
      </c>
      <c r="J70" s="6">
        <v>51.55</v>
      </c>
      <c r="K70" s="6">
        <v>58.65</v>
      </c>
      <c r="L70" s="6">
        <v>40.549999999999997</v>
      </c>
      <c r="M70" s="18">
        <v>1958.45</v>
      </c>
      <c r="N70" s="97">
        <f t="shared" si="28"/>
        <v>2202.06</v>
      </c>
      <c r="O70" s="12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x14ac:dyDescent="0.25">
      <c r="A71" s="8" t="s">
        <v>107</v>
      </c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>
        <f>SUM(B71:M71)</f>
        <v>0</v>
      </c>
      <c r="O71" s="1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x14ac:dyDescent="0.25">
      <c r="A72" s="8" t="s">
        <v>108</v>
      </c>
      <c r="B72" s="11"/>
      <c r="C72" s="11"/>
      <c r="D72" s="11"/>
      <c r="E72" s="11"/>
      <c r="F72" s="17">
        <v>1700</v>
      </c>
      <c r="G72" s="11"/>
      <c r="H72" s="11"/>
      <c r="I72" s="11">
        <v>131.05000000000001</v>
      </c>
      <c r="J72" s="11"/>
      <c r="K72" s="11"/>
      <c r="L72" s="11"/>
      <c r="M72" s="11"/>
      <c r="N72" s="11">
        <f t="shared" si="28"/>
        <v>1831.05</v>
      </c>
      <c r="O72" s="1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x14ac:dyDescent="0.25">
      <c r="A73" s="8" t="s">
        <v>109</v>
      </c>
      <c r="B73" s="11">
        <v>257.54000000000002</v>
      </c>
      <c r="C73" s="11">
        <v>659.94</v>
      </c>
      <c r="D73" s="11">
        <v>808.54</v>
      </c>
      <c r="E73" s="11">
        <v>363.98</v>
      </c>
      <c r="F73" s="11">
        <v>409.63</v>
      </c>
      <c r="G73" s="11">
        <v>245.29</v>
      </c>
      <c r="H73" s="11">
        <v>381.06</v>
      </c>
      <c r="I73" s="11">
        <v>289.06</v>
      </c>
      <c r="J73" s="11">
        <v>276.48</v>
      </c>
      <c r="K73" s="11">
        <v>276.06</v>
      </c>
      <c r="L73" s="11">
        <v>275.38</v>
      </c>
      <c r="M73" s="11">
        <v>200.19</v>
      </c>
      <c r="N73" s="11">
        <f t="shared" si="28"/>
        <v>4443.1499999999996</v>
      </c>
      <c r="O73" s="6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x14ac:dyDescent="0.25">
      <c r="A74" s="8" t="s">
        <v>110</v>
      </c>
      <c r="B74" s="11"/>
      <c r="C74" s="11"/>
      <c r="D74" s="11"/>
      <c r="E74" s="11"/>
      <c r="F74" s="11">
        <v>150.22</v>
      </c>
      <c r="G74" s="11"/>
      <c r="H74" s="11"/>
      <c r="I74" s="11"/>
      <c r="J74" s="11"/>
      <c r="K74" s="11"/>
      <c r="L74" s="11"/>
      <c r="M74" s="11"/>
      <c r="N74" s="11">
        <f t="shared" si="28"/>
        <v>150.22</v>
      </c>
      <c r="O74" s="1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x14ac:dyDescent="0.25">
      <c r="A75" s="8" t="s">
        <v>111</v>
      </c>
      <c r="B75" s="10">
        <f>SUM(B71:B74)</f>
        <v>257.54000000000002</v>
      </c>
      <c r="C75" s="10">
        <f t="shared" ref="C75:N75" si="29">SUM(C71:C74)</f>
        <v>659.94</v>
      </c>
      <c r="D75" s="10">
        <f t="shared" si="29"/>
        <v>808.54</v>
      </c>
      <c r="E75" s="10">
        <f t="shared" si="29"/>
        <v>363.98</v>
      </c>
      <c r="F75" s="10">
        <f t="shared" si="29"/>
        <v>2259.85</v>
      </c>
      <c r="G75" s="10">
        <f t="shared" si="29"/>
        <v>245.29</v>
      </c>
      <c r="H75" s="10">
        <f t="shared" si="29"/>
        <v>381.06</v>
      </c>
      <c r="I75" s="10">
        <f t="shared" si="29"/>
        <v>420.11</v>
      </c>
      <c r="J75" s="10">
        <f t="shared" si="29"/>
        <v>276.48</v>
      </c>
      <c r="K75" s="10">
        <f t="shared" si="29"/>
        <v>276.06</v>
      </c>
      <c r="L75" s="10">
        <f t="shared" si="29"/>
        <v>275.38</v>
      </c>
      <c r="M75" s="10">
        <f t="shared" si="29"/>
        <v>200.19</v>
      </c>
      <c r="N75" s="10">
        <f t="shared" si="29"/>
        <v>6424.42</v>
      </c>
      <c r="O75" s="1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x14ac:dyDescent="0.25">
      <c r="A76" s="8" t="s">
        <v>112</v>
      </c>
      <c r="B76" s="6">
        <v>100</v>
      </c>
      <c r="C76" s="6">
        <v>100</v>
      </c>
      <c r="D76" s="6">
        <v>310.24</v>
      </c>
      <c r="E76" s="6">
        <v>100</v>
      </c>
      <c r="F76" s="6">
        <v>100</v>
      </c>
      <c r="G76" s="6">
        <v>100</v>
      </c>
      <c r="H76" s="6">
        <v>100</v>
      </c>
      <c r="I76" s="6">
        <v>100</v>
      </c>
      <c r="J76" s="6">
        <v>100</v>
      </c>
      <c r="K76" s="6">
        <v>100</v>
      </c>
      <c r="L76" s="6">
        <v>100</v>
      </c>
      <c r="M76" s="6">
        <v>202.09</v>
      </c>
      <c r="N76" s="91">
        <f>SUM(B76:M76)</f>
        <v>1512.33</v>
      </c>
      <c r="O76" s="1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x14ac:dyDescent="0.25">
      <c r="A77" s="8" t="s">
        <v>113</v>
      </c>
      <c r="B77" s="11"/>
      <c r="C77" s="11"/>
      <c r="D77" s="11"/>
      <c r="E77" s="11"/>
      <c r="F77" s="11">
        <v>179.66</v>
      </c>
      <c r="G77" s="11"/>
      <c r="H77" s="11"/>
      <c r="I77" s="11"/>
      <c r="J77" s="11"/>
      <c r="K77" s="11"/>
      <c r="L77" s="11"/>
      <c r="M77" s="11"/>
      <c r="N77" s="17">
        <f t="shared" ref="N77:N79" si="30">SUM(B77:M77)</f>
        <v>179.66</v>
      </c>
      <c r="O77" s="1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x14ac:dyDescent="0.25">
      <c r="A78" s="8" t="s">
        <v>114</v>
      </c>
      <c r="B78" s="11">
        <v>75.3</v>
      </c>
      <c r="C78" s="11">
        <v>22.85</v>
      </c>
      <c r="D78" s="11">
        <v>106.12</v>
      </c>
      <c r="E78" s="11">
        <v>107.83</v>
      </c>
      <c r="F78" s="11">
        <v>175.05</v>
      </c>
      <c r="G78" s="11">
        <v>90.05</v>
      </c>
      <c r="H78" s="11">
        <v>101.23</v>
      </c>
      <c r="I78" s="11">
        <v>136.94</v>
      </c>
      <c r="J78" s="11">
        <v>121.28</v>
      </c>
      <c r="K78" s="11">
        <v>181.91</v>
      </c>
      <c r="L78" s="11">
        <v>192.41</v>
      </c>
      <c r="M78" s="11">
        <v>148.4</v>
      </c>
      <c r="N78" s="17">
        <f t="shared" si="30"/>
        <v>1459.3700000000003</v>
      </c>
      <c r="O78" s="1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x14ac:dyDescent="0.25">
      <c r="A79" s="8" t="s">
        <v>115</v>
      </c>
      <c r="B79" s="11">
        <v>428.76</v>
      </c>
      <c r="C79" s="11">
        <v>457.94</v>
      </c>
      <c r="D79" s="11">
        <v>505.56</v>
      </c>
      <c r="E79" s="11">
        <v>539.97</v>
      </c>
      <c r="F79" s="11">
        <v>497.88</v>
      </c>
      <c r="G79" s="11">
        <v>455.6</v>
      </c>
      <c r="H79" s="11">
        <v>447.19</v>
      </c>
      <c r="I79" s="11">
        <v>543.97</v>
      </c>
      <c r="J79" s="11">
        <v>559.33000000000004</v>
      </c>
      <c r="K79" s="11">
        <v>592.37</v>
      </c>
      <c r="L79" s="11">
        <v>574.14</v>
      </c>
      <c r="M79" s="11">
        <v>459.48</v>
      </c>
      <c r="N79" s="17">
        <f t="shared" si="30"/>
        <v>6062.1900000000005</v>
      </c>
      <c r="O79" s="1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x14ac:dyDescent="0.25">
      <c r="A80" s="8" t="s">
        <v>116</v>
      </c>
      <c r="B80" s="10">
        <f>SUM(B77:B79)</f>
        <v>504.06</v>
      </c>
      <c r="C80" s="10">
        <f t="shared" ref="C80:N80" si="31">SUM(C77:C79)</f>
        <v>480.79</v>
      </c>
      <c r="D80" s="10">
        <f t="shared" si="31"/>
        <v>611.68000000000006</v>
      </c>
      <c r="E80" s="10">
        <f t="shared" si="31"/>
        <v>647.80000000000007</v>
      </c>
      <c r="F80" s="10">
        <f t="shared" si="31"/>
        <v>852.59</v>
      </c>
      <c r="G80" s="10">
        <f t="shared" si="31"/>
        <v>545.65</v>
      </c>
      <c r="H80" s="10">
        <f t="shared" si="31"/>
        <v>548.41999999999996</v>
      </c>
      <c r="I80" s="10">
        <f t="shared" si="31"/>
        <v>680.91000000000008</v>
      </c>
      <c r="J80" s="10">
        <f t="shared" si="31"/>
        <v>680.61</v>
      </c>
      <c r="K80" s="10">
        <f t="shared" si="31"/>
        <v>774.28</v>
      </c>
      <c r="L80" s="10">
        <f t="shared" si="31"/>
        <v>766.55</v>
      </c>
      <c r="M80" s="10">
        <f t="shared" si="31"/>
        <v>607.88</v>
      </c>
      <c r="N80" s="10">
        <f t="shared" si="31"/>
        <v>7701.2200000000012</v>
      </c>
      <c r="O80" s="1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x14ac:dyDescent="0.25">
      <c r="A81" s="8" t="s">
        <v>117</v>
      </c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11">
        <v>0</v>
      </c>
      <c r="O81" s="6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x14ac:dyDescent="0.25">
      <c r="A82" s="88" t="s">
        <v>118</v>
      </c>
      <c r="B82" s="18">
        <v>1618.95</v>
      </c>
      <c r="C82" s="18">
        <v>1618.95</v>
      </c>
      <c r="D82" s="18">
        <v>1618.95</v>
      </c>
      <c r="E82" s="18">
        <v>1618.95</v>
      </c>
      <c r="F82" s="18">
        <v>1618.95</v>
      </c>
      <c r="G82" s="18">
        <v>1618.95</v>
      </c>
      <c r="H82" s="18">
        <v>1618.95</v>
      </c>
      <c r="I82" s="18">
        <v>2218.98</v>
      </c>
      <c r="J82" s="18">
        <v>1618.95</v>
      </c>
      <c r="K82" s="18">
        <v>1618.95</v>
      </c>
      <c r="L82" s="18">
        <v>1618.95</v>
      </c>
      <c r="M82" s="18">
        <v>2218.98</v>
      </c>
      <c r="N82" s="17">
        <f>SUM(B82:M82)</f>
        <v>20627.460000000003</v>
      </c>
      <c r="O82" s="12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x14ac:dyDescent="0.25">
      <c r="A83" s="88" t="s">
        <v>213</v>
      </c>
      <c r="B83" s="18">
        <f>B82*0.25*-1</f>
        <v>-404.73750000000001</v>
      </c>
      <c r="C83" s="18">
        <f t="shared" ref="C83:M83" si="32">C82*0.25*-1</f>
        <v>-404.73750000000001</v>
      </c>
      <c r="D83" s="18">
        <f t="shared" si="32"/>
        <v>-404.73750000000001</v>
      </c>
      <c r="E83" s="18">
        <f t="shared" si="32"/>
        <v>-404.73750000000001</v>
      </c>
      <c r="F83" s="18">
        <f t="shared" si="32"/>
        <v>-404.73750000000001</v>
      </c>
      <c r="G83" s="18">
        <f t="shared" si="32"/>
        <v>-404.73750000000001</v>
      </c>
      <c r="H83" s="18">
        <f t="shared" si="32"/>
        <v>-404.73750000000001</v>
      </c>
      <c r="I83" s="18">
        <f t="shared" si="32"/>
        <v>-554.745</v>
      </c>
      <c r="J83" s="18">
        <f t="shared" si="32"/>
        <v>-404.73750000000001</v>
      </c>
      <c r="K83" s="18">
        <f t="shared" si="32"/>
        <v>-404.73750000000001</v>
      </c>
      <c r="L83" s="18">
        <f t="shared" si="32"/>
        <v>-404.73750000000001</v>
      </c>
      <c r="M83" s="18">
        <f t="shared" si="32"/>
        <v>-554.745</v>
      </c>
      <c r="N83" s="17">
        <f t="shared" ref="N83:N100" si="33">SUM(B83:M83)</f>
        <v>-5156.8650000000007</v>
      </c>
      <c r="O83" s="12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x14ac:dyDescent="0.25">
      <c r="A84" s="8" t="s">
        <v>119</v>
      </c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17">
        <f t="shared" si="33"/>
        <v>0</v>
      </c>
      <c r="O84" s="12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x14ac:dyDescent="0.25">
      <c r="A85" s="8" t="s">
        <v>120</v>
      </c>
      <c r="B85" s="18">
        <v>1400</v>
      </c>
      <c r="C85" s="18">
        <v>1400</v>
      </c>
      <c r="D85" s="18">
        <v>1400</v>
      </c>
      <c r="E85" s="18">
        <v>1900</v>
      </c>
      <c r="F85" s="18">
        <v>1400</v>
      </c>
      <c r="G85" s="18">
        <v>1400</v>
      </c>
      <c r="H85" s="18">
        <v>1400</v>
      </c>
      <c r="I85" s="18">
        <v>1400</v>
      </c>
      <c r="J85" s="18">
        <v>1581.37</v>
      </c>
      <c r="K85" s="18">
        <v>1400</v>
      </c>
      <c r="L85" s="18">
        <v>1400</v>
      </c>
      <c r="M85" s="18">
        <v>1400</v>
      </c>
      <c r="N85" s="17">
        <f t="shared" si="33"/>
        <v>17481.37</v>
      </c>
      <c r="O85" s="12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x14ac:dyDescent="0.25">
      <c r="A86" s="8" t="s">
        <v>121</v>
      </c>
      <c r="B86" s="6"/>
      <c r="C86" s="6"/>
      <c r="D86" s="6"/>
      <c r="E86" s="6"/>
      <c r="F86" s="6">
        <v>50</v>
      </c>
      <c r="G86" s="6"/>
      <c r="H86" s="6"/>
      <c r="I86" s="6">
        <v>50</v>
      </c>
      <c r="J86" s="6">
        <v>16</v>
      </c>
      <c r="K86" s="6"/>
      <c r="L86" s="6"/>
      <c r="M86" s="6"/>
      <c r="N86" s="17">
        <f t="shared" si="33"/>
        <v>116</v>
      </c>
      <c r="O86" s="12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x14ac:dyDescent="0.25">
      <c r="A87" s="8" t="s">
        <v>122</v>
      </c>
      <c r="B87" s="6">
        <v>178.33</v>
      </c>
      <c r="C87" s="6">
        <v>178.33</v>
      </c>
      <c r="D87" s="6">
        <v>178.33</v>
      </c>
      <c r="E87" s="6">
        <v>178.33</v>
      </c>
      <c r="F87" s="6">
        <v>178.33</v>
      </c>
      <c r="G87" s="6">
        <v>178.33</v>
      </c>
      <c r="H87" s="6">
        <v>178.33</v>
      </c>
      <c r="I87" s="6">
        <v>178.33</v>
      </c>
      <c r="J87" s="6">
        <v>178.33</v>
      </c>
      <c r="K87" s="6">
        <v>178.33</v>
      </c>
      <c r="L87" s="6">
        <v>178.33</v>
      </c>
      <c r="M87" s="6">
        <v>178.33</v>
      </c>
      <c r="N87" s="17">
        <f t="shared" si="33"/>
        <v>2139.9599999999996</v>
      </c>
      <c r="O87" s="12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x14ac:dyDescent="0.25">
      <c r="A88" s="29" t="s">
        <v>123</v>
      </c>
      <c r="B88" s="10">
        <f>SUM(B82:B87)</f>
        <v>2792.5425</v>
      </c>
      <c r="C88" s="10">
        <f t="shared" ref="C88:M88" si="34">SUM(C82:C87)</f>
        <v>2792.5425</v>
      </c>
      <c r="D88" s="10">
        <f t="shared" si="34"/>
        <v>2792.5425</v>
      </c>
      <c r="E88" s="10">
        <f t="shared" si="34"/>
        <v>3292.5425</v>
      </c>
      <c r="F88" s="10">
        <f t="shared" si="34"/>
        <v>2842.5425</v>
      </c>
      <c r="G88" s="10">
        <f t="shared" si="34"/>
        <v>2792.5425</v>
      </c>
      <c r="H88" s="10">
        <f t="shared" si="34"/>
        <v>2792.5425</v>
      </c>
      <c r="I88" s="10">
        <f t="shared" si="34"/>
        <v>3292.5650000000001</v>
      </c>
      <c r="J88" s="10">
        <f t="shared" si="34"/>
        <v>2989.9124999999999</v>
      </c>
      <c r="K88" s="10">
        <f t="shared" si="34"/>
        <v>2792.5425</v>
      </c>
      <c r="L88" s="10">
        <f t="shared" si="34"/>
        <v>2792.5425</v>
      </c>
      <c r="M88" s="10">
        <f t="shared" si="34"/>
        <v>3242.5650000000001</v>
      </c>
      <c r="N88" s="92">
        <f t="shared" si="33"/>
        <v>35207.924999999996</v>
      </c>
      <c r="O88" s="6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x14ac:dyDescent="0.25">
      <c r="A89" s="8" t="s">
        <v>124</v>
      </c>
      <c r="B89" s="6"/>
      <c r="C89" s="6"/>
      <c r="D89" s="6"/>
      <c r="E89" s="6"/>
      <c r="F89" s="11"/>
      <c r="G89" s="6">
        <v>120</v>
      </c>
      <c r="H89" s="11"/>
      <c r="I89" s="11"/>
      <c r="J89" s="11">
        <v>54</v>
      </c>
      <c r="K89" s="11"/>
      <c r="L89" s="6"/>
      <c r="M89" s="11"/>
      <c r="N89" s="92">
        <f t="shared" si="33"/>
        <v>174</v>
      </c>
      <c r="O89" s="12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x14ac:dyDescent="0.25">
      <c r="A90" s="8" t="s">
        <v>125</v>
      </c>
      <c r="B90" s="6"/>
      <c r="C90" s="6"/>
      <c r="D90" s="17">
        <v>1374.46</v>
      </c>
      <c r="E90" s="6"/>
      <c r="F90" s="6"/>
      <c r="G90" s="6"/>
      <c r="H90" s="6"/>
      <c r="I90" s="11">
        <v>226.99</v>
      </c>
      <c r="J90" s="6"/>
      <c r="K90" s="11"/>
      <c r="L90" s="11"/>
      <c r="M90" s="11"/>
      <c r="N90" s="92">
        <f t="shared" si="33"/>
        <v>1601.45</v>
      </c>
      <c r="O90" s="12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x14ac:dyDescent="0.25">
      <c r="A91" s="8" t="s">
        <v>126</v>
      </c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92">
        <f t="shared" si="33"/>
        <v>0</v>
      </c>
      <c r="O91" s="12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5">
      <c r="A92" s="8" t="s">
        <v>127</v>
      </c>
      <c r="B92" s="6">
        <v>935</v>
      </c>
      <c r="C92" s="6">
        <v>935</v>
      </c>
      <c r="D92" s="6">
        <v>935</v>
      </c>
      <c r="E92" s="6">
        <v>935</v>
      </c>
      <c r="F92" s="6">
        <v>935</v>
      </c>
      <c r="G92" s="6">
        <v>935</v>
      </c>
      <c r="H92" s="6">
        <v>935</v>
      </c>
      <c r="I92" s="6">
        <v>935</v>
      </c>
      <c r="J92" s="6">
        <v>946.9</v>
      </c>
      <c r="K92" s="6">
        <v>935</v>
      </c>
      <c r="L92" s="6">
        <v>935</v>
      </c>
      <c r="M92" s="6">
        <v>935</v>
      </c>
      <c r="N92" s="92">
        <f t="shared" si="33"/>
        <v>11231.9</v>
      </c>
      <c r="O92" s="12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x14ac:dyDescent="0.25">
      <c r="A93" s="8" t="s">
        <v>128</v>
      </c>
      <c r="B93" s="11">
        <v>134.32</v>
      </c>
      <c r="C93" s="6">
        <v>47.81</v>
      </c>
      <c r="D93" s="11">
        <v>116.59</v>
      </c>
      <c r="E93" s="11">
        <v>66.67</v>
      </c>
      <c r="F93" s="6">
        <v>60.27</v>
      </c>
      <c r="G93" s="6">
        <v>71.03</v>
      </c>
      <c r="H93" s="6">
        <v>68.11</v>
      </c>
      <c r="I93" s="6">
        <v>95.96</v>
      </c>
      <c r="J93" s="11">
        <v>364.51</v>
      </c>
      <c r="K93" s="6">
        <v>10.66</v>
      </c>
      <c r="L93" s="6">
        <v>75.95</v>
      </c>
      <c r="M93" s="6">
        <v>74.930000000000007</v>
      </c>
      <c r="N93" s="105">
        <f t="shared" si="33"/>
        <v>1186.8100000000002</v>
      </c>
      <c r="O93" s="12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x14ac:dyDescent="0.25">
      <c r="A94" s="8" t="s">
        <v>129</v>
      </c>
      <c r="B94" s="11"/>
      <c r="C94" s="11"/>
      <c r="D94" s="11"/>
      <c r="E94" s="11"/>
      <c r="F94" s="11">
        <v>66.22</v>
      </c>
      <c r="G94" s="11"/>
      <c r="H94" s="11"/>
      <c r="I94" s="11"/>
      <c r="J94" s="11"/>
      <c r="K94" s="11"/>
      <c r="L94" s="11"/>
      <c r="M94" s="11"/>
      <c r="N94" s="105">
        <f t="shared" si="33"/>
        <v>66.22</v>
      </c>
      <c r="O94" s="12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x14ac:dyDescent="0.25">
      <c r="A95" s="8" t="s">
        <v>130</v>
      </c>
      <c r="B95" s="11"/>
      <c r="C95" s="6"/>
      <c r="D95" s="11"/>
      <c r="E95" s="11">
        <v>48.45</v>
      </c>
      <c r="F95" s="6"/>
      <c r="G95" s="6"/>
      <c r="H95" s="6">
        <v>110.55</v>
      </c>
      <c r="I95" s="6"/>
      <c r="J95" s="11"/>
      <c r="K95" s="6">
        <v>109.88</v>
      </c>
      <c r="L95" s="6"/>
      <c r="M95" s="6"/>
      <c r="N95" s="105">
        <f t="shared" si="33"/>
        <v>268.88</v>
      </c>
      <c r="O95" s="12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x14ac:dyDescent="0.25">
      <c r="A96" s="8" t="s">
        <v>131</v>
      </c>
      <c r="B96" s="10">
        <v>134.32</v>
      </c>
      <c r="C96" s="10">
        <v>47.81</v>
      </c>
      <c r="D96" s="10">
        <v>116.59</v>
      </c>
      <c r="E96" s="10">
        <v>115.12</v>
      </c>
      <c r="F96" s="10">
        <v>126.49</v>
      </c>
      <c r="G96" s="10">
        <v>71.03</v>
      </c>
      <c r="H96" s="10">
        <v>178.66</v>
      </c>
      <c r="I96" s="10">
        <v>95.96</v>
      </c>
      <c r="J96" s="10">
        <v>364.51</v>
      </c>
      <c r="K96" s="10">
        <v>120.54</v>
      </c>
      <c r="L96" s="10">
        <v>75.95</v>
      </c>
      <c r="M96" s="10">
        <v>74.930000000000007</v>
      </c>
      <c r="N96" s="92">
        <f t="shared" si="33"/>
        <v>1521.91</v>
      </c>
      <c r="O96" s="12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31.5" x14ac:dyDescent="0.25">
      <c r="A97" s="29" t="s">
        <v>132</v>
      </c>
      <c r="B97" s="11"/>
      <c r="C97" s="11"/>
      <c r="D97" s="11"/>
      <c r="E97" s="11">
        <v>30</v>
      </c>
      <c r="F97" s="11"/>
      <c r="G97" s="11"/>
      <c r="H97" s="11"/>
      <c r="I97" s="11"/>
      <c r="J97" s="11"/>
      <c r="K97" s="11"/>
      <c r="L97" s="11">
        <v>31.97</v>
      </c>
      <c r="M97" s="11"/>
      <c r="N97" s="92">
        <f t="shared" si="33"/>
        <v>61.97</v>
      </c>
      <c r="O97" s="12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x14ac:dyDescent="0.25">
      <c r="A98" s="8" t="s">
        <v>133</v>
      </c>
      <c r="B98" s="6"/>
      <c r="C98" s="11">
        <v>323.98</v>
      </c>
      <c r="D98" s="6"/>
      <c r="E98" s="6"/>
      <c r="F98" s="11"/>
      <c r="G98" s="11"/>
      <c r="H98" s="11">
        <v>369.19</v>
      </c>
      <c r="I98" s="11"/>
      <c r="J98" s="11"/>
      <c r="K98" s="12"/>
      <c r="L98" s="11"/>
      <c r="M98" s="11">
        <v>975.53</v>
      </c>
      <c r="N98" s="105">
        <f t="shared" si="33"/>
        <v>1668.7</v>
      </c>
      <c r="O98" s="12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x14ac:dyDescent="0.25">
      <c r="A99" s="8" t="s">
        <v>134</v>
      </c>
      <c r="B99" s="6"/>
      <c r="C99" s="11"/>
      <c r="D99" s="6"/>
      <c r="E99" s="6"/>
      <c r="F99" s="11"/>
      <c r="G99" s="11"/>
      <c r="H99" s="11"/>
      <c r="I99" s="11"/>
      <c r="J99" s="11"/>
      <c r="K99" s="12"/>
      <c r="L99" s="11"/>
      <c r="M99" s="11">
        <v>581.70000000000005</v>
      </c>
      <c r="N99" s="105">
        <f t="shared" si="33"/>
        <v>581.70000000000005</v>
      </c>
      <c r="O99" s="12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x14ac:dyDescent="0.25">
      <c r="A100" s="8" t="s">
        <v>135</v>
      </c>
      <c r="B100" s="10">
        <v>0</v>
      </c>
      <c r="C100" s="10">
        <v>323.98</v>
      </c>
      <c r="D100" s="10">
        <v>0</v>
      </c>
      <c r="E100" s="10">
        <v>0</v>
      </c>
      <c r="F100" s="10">
        <v>0</v>
      </c>
      <c r="G100" s="10">
        <v>0</v>
      </c>
      <c r="H100" s="10">
        <v>369.19</v>
      </c>
      <c r="I100" s="10">
        <v>0</v>
      </c>
      <c r="J100" s="10">
        <v>0</v>
      </c>
      <c r="K100" s="10">
        <v>0</v>
      </c>
      <c r="L100" s="10">
        <v>0</v>
      </c>
      <c r="M100" s="10">
        <v>1557.23</v>
      </c>
      <c r="N100" s="92">
        <f t="shared" si="33"/>
        <v>2250.4</v>
      </c>
      <c r="O100" s="12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x14ac:dyDescent="0.25">
      <c r="A101" s="8" t="s">
        <v>136</v>
      </c>
      <c r="B101" s="11">
        <v>12.57</v>
      </c>
      <c r="C101" s="11">
        <v>15.01</v>
      </c>
      <c r="D101" s="11">
        <v>19.2</v>
      </c>
      <c r="E101" s="11">
        <v>22.22</v>
      </c>
      <c r="F101" s="11"/>
      <c r="G101" s="11">
        <v>17.87</v>
      </c>
      <c r="H101" s="11">
        <v>27.7</v>
      </c>
      <c r="I101" s="11">
        <v>31.98</v>
      </c>
      <c r="J101" s="11">
        <v>25.58</v>
      </c>
      <c r="K101" s="11">
        <v>36.880000000000003</v>
      </c>
      <c r="L101" s="11">
        <v>25.39</v>
      </c>
      <c r="M101" s="11">
        <v>24.97</v>
      </c>
      <c r="N101" s="97">
        <f>SUM(B101:M101)</f>
        <v>259.37</v>
      </c>
      <c r="O101" s="12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x14ac:dyDescent="0.25">
      <c r="A102" s="8" t="s">
        <v>137</v>
      </c>
      <c r="B102" s="6"/>
      <c r="C102" s="6"/>
      <c r="D102" s="6"/>
      <c r="E102" s="6"/>
      <c r="F102" s="11"/>
      <c r="G102" s="11"/>
      <c r="H102" s="11"/>
      <c r="I102" s="11"/>
      <c r="J102" s="6"/>
      <c r="K102" s="11"/>
      <c r="L102" s="6"/>
      <c r="M102" s="11"/>
      <c r="N102" s="9">
        <f t="shared" ref="N102:N108" si="35">SUM(B102:M102)</f>
        <v>0</v>
      </c>
      <c r="O102" s="12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x14ac:dyDescent="0.25">
      <c r="A103" s="8" t="s">
        <v>138</v>
      </c>
      <c r="B103" s="6"/>
      <c r="C103" s="11"/>
      <c r="D103" s="11"/>
      <c r="E103" s="11">
        <v>690.05</v>
      </c>
      <c r="F103" s="6"/>
      <c r="G103" s="11"/>
      <c r="H103" s="11"/>
      <c r="I103" s="11">
        <v>36.869999999999997</v>
      </c>
      <c r="J103" s="11"/>
      <c r="K103" s="11"/>
      <c r="L103" s="11"/>
      <c r="M103" s="11"/>
      <c r="N103" s="9">
        <f t="shared" si="35"/>
        <v>726.92</v>
      </c>
      <c r="O103" s="12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x14ac:dyDescent="0.25">
      <c r="A104" s="8" t="s">
        <v>139</v>
      </c>
      <c r="B104" s="6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>
        <f t="shared" si="35"/>
        <v>0</v>
      </c>
      <c r="O104" s="12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x14ac:dyDescent="0.25">
      <c r="A105" s="8" t="s">
        <v>140</v>
      </c>
      <c r="B105" s="6">
        <v>89.6</v>
      </c>
      <c r="C105" s="6">
        <v>89.6</v>
      </c>
      <c r="D105" s="6">
        <v>89.6</v>
      </c>
      <c r="E105" s="6">
        <v>89.6</v>
      </c>
      <c r="F105" s="6">
        <v>89.6</v>
      </c>
      <c r="G105" s="6">
        <v>89.6</v>
      </c>
      <c r="H105" s="6">
        <v>89.6</v>
      </c>
      <c r="I105" s="6">
        <v>89.6</v>
      </c>
      <c r="J105" s="6">
        <v>89.6</v>
      </c>
      <c r="K105" s="6">
        <v>109.52</v>
      </c>
      <c r="L105" s="6">
        <v>89.6</v>
      </c>
      <c r="M105" s="6">
        <v>89.6</v>
      </c>
      <c r="N105" s="11">
        <f t="shared" si="35"/>
        <v>1095.1200000000001</v>
      </c>
      <c r="O105" s="12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x14ac:dyDescent="0.25">
      <c r="A106" s="8" t="s">
        <v>141</v>
      </c>
      <c r="B106" s="6">
        <v>133.56</v>
      </c>
      <c r="C106" s="11">
        <v>136.46</v>
      </c>
      <c r="D106" s="11">
        <v>138.44</v>
      </c>
      <c r="E106" s="11">
        <v>115.13</v>
      </c>
      <c r="F106" s="11">
        <v>147.55000000000001</v>
      </c>
      <c r="G106" s="11">
        <v>163.69999999999999</v>
      </c>
      <c r="H106" s="11">
        <v>146.24</v>
      </c>
      <c r="I106" s="11">
        <v>193.22</v>
      </c>
      <c r="J106" s="11">
        <v>159.01</v>
      </c>
      <c r="K106" s="11">
        <v>175.97</v>
      </c>
      <c r="L106" s="11">
        <v>182.3</v>
      </c>
      <c r="M106" s="11">
        <v>151.06</v>
      </c>
      <c r="N106" s="11">
        <f t="shared" si="35"/>
        <v>1842.6399999999999</v>
      </c>
      <c r="O106" s="12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x14ac:dyDescent="0.25">
      <c r="A107" s="8" t="s">
        <v>142</v>
      </c>
      <c r="B107" s="6">
        <v>153.52000000000001</v>
      </c>
      <c r="C107" s="6">
        <v>159.55000000000001</v>
      </c>
      <c r="D107" s="6">
        <v>153.52000000000001</v>
      </c>
      <c r="E107" s="6">
        <v>193.12</v>
      </c>
      <c r="F107" s="6">
        <v>163.12</v>
      </c>
      <c r="G107" s="6">
        <v>153.52000000000001</v>
      </c>
      <c r="H107" s="6">
        <v>168.14</v>
      </c>
      <c r="I107" s="6">
        <v>153.52000000000001</v>
      </c>
      <c r="J107" s="6">
        <v>153.52000000000001</v>
      </c>
      <c r="K107" s="6">
        <v>203.7</v>
      </c>
      <c r="L107" s="6">
        <v>153.52000000000001</v>
      </c>
      <c r="M107" s="6">
        <v>153.51</v>
      </c>
      <c r="N107" s="11">
        <f t="shared" si="35"/>
        <v>1962.26</v>
      </c>
      <c r="O107" s="12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x14ac:dyDescent="0.25">
      <c r="A108" s="8" t="s">
        <v>143</v>
      </c>
      <c r="B108" s="6">
        <v>44.8</v>
      </c>
      <c r="C108" s="6">
        <v>44.8</v>
      </c>
      <c r="D108" s="6">
        <v>94.25</v>
      </c>
      <c r="E108" s="6">
        <v>48.17</v>
      </c>
      <c r="F108" s="6">
        <v>44.8</v>
      </c>
      <c r="G108" s="6">
        <v>44.8</v>
      </c>
      <c r="H108" s="6">
        <v>44.8</v>
      </c>
      <c r="I108" s="6">
        <v>44.8</v>
      </c>
      <c r="J108" s="6">
        <v>44.8</v>
      </c>
      <c r="K108" s="6">
        <v>44.8</v>
      </c>
      <c r="L108" s="6">
        <v>44.8</v>
      </c>
      <c r="M108" s="6">
        <v>44.79</v>
      </c>
      <c r="N108" s="11">
        <f t="shared" si="35"/>
        <v>590.41</v>
      </c>
      <c r="O108" s="12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x14ac:dyDescent="0.25">
      <c r="A109" s="8" t="s">
        <v>144</v>
      </c>
      <c r="B109" s="10">
        <f>SUM(B105:B108)</f>
        <v>421.48</v>
      </c>
      <c r="C109" s="10">
        <f t="shared" ref="C109:N109" si="36">SUM(C105:C108)</f>
        <v>430.41</v>
      </c>
      <c r="D109" s="10">
        <f t="shared" si="36"/>
        <v>475.81</v>
      </c>
      <c r="E109" s="10">
        <f t="shared" si="36"/>
        <v>446.02000000000004</v>
      </c>
      <c r="F109" s="10">
        <f t="shared" si="36"/>
        <v>445.07</v>
      </c>
      <c r="G109" s="10">
        <f t="shared" si="36"/>
        <v>451.62</v>
      </c>
      <c r="H109" s="10">
        <f t="shared" si="36"/>
        <v>448.78000000000003</v>
      </c>
      <c r="I109" s="10">
        <f t="shared" si="36"/>
        <v>481.14000000000004</v>
      </c>
      <c r="J109" s="10">
        <f t="shared" si="36"/>
        <v>446.93</v>
      </c>
      <c r="K109" s="10">
        <f t="shared" si="36"/>
        <v>533.99</v>
      </c>
      <c r="L109" s="10">
        <f t="shared" si="36"/>
        <v>470.21999999999997</v>
      </c>
      <c r="M109" s="10">
        <f t="shared" si="36"/>
        <v>438.96</v>
      </c>
      <c r="N109" s="10">
        <f t="shared" si="36"/>
        <v>5490.43</v>
      </c>
      <c r="O109" s="12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x14ac:dyDescent="0.25">
      <c r="A110" s="29" t="s">
        <v>145</v>
      </c>
      <c r="B110" s="10">
        <f>B55+B56+B57+B58+B63+B64+B65+B66+B67+B68+B69+B70+B75+B76+B80+B88+B89+B90+B91+B92+B96+B97+B100+B101+B102+B103+B109</f>
        <v>6790.8125</v>
      </c>
      <c r="C110" s="10">
        <f t="shared" ref="C110:N110" si="37">C55+C56+C57+C58+C63+C64+C65+C66+C67+C68+C69+C70+C75+C76+C80+C88+C89+C90+C91+C92+C96+C97+C100+C101+C102+C103+C109</f>
        <v>7423.7925000000014</v>
      </c>
      <c r="D110" s="10">
        <f t="shared" si="37"/>
        <v>9656.7725000000009</v>
      </c>
      <c r="E110" s="10">
        <f t="shared" si="37"/>
        <v>8757.0025000000005</v>
      </c>
      <c r="F110" s="10">
        <f t="shared" si="37"/>
        <v>9574.9724999999999</v>
      </c>
      <c r="G110" s="10">
        <f t="shared" si="37"/>
        <v>7266.4824999999992</v>
      </c>
      <c r="H110" s="10">
        <f t="shared" si="37"/>
        <v>7541.4624999999987</v>
      </c>
      <c r="I110" s="10">
        <f t="shared" si="37"/>
        <v>8614.4049999999988</v>
      </c>
      <c r="J110" s="10">
        <f t="shared" si="37"/>
        <v>7876.7725</v>
      </c>
      <c r="K110" s="10">
        <f t="shared" si="37"/>
        <v>7464.8125</v>
      </c>
      <c r="L110" s="10">
        <f t="shared" si="37"/>
        <v>7214.7125000000015</v>
      </c>
      <c r="M110" s="10">
        <f t="shared" si="37"/>
        <v>11354.114999999998</v>
      </c>
      <c r="N110" s="10">
        <f t="shared" si="37"/>
        <v>99536.114999999991</v>
      </c>
      <c r="O110" s="12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x14ac:dyDescent="0.25">
      <c r="A111" s="8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2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x14ac:dyDescent="0.25">
      <c r="A112" s="8" t="s">
        <v>146</v>
      </c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12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x14ac:dyDescent="0.25">
      <c r="A113" s="8" t="s">
        <v>147</v>
      </c>
      <c r="B113" s="11">
        <v>4.12</v>
      </c>
      <c r="C113" s="6">
        <v>4.2</v>
      </c>
      <c r="D113" s="11">
        <v>4.8899999999999997</v>
      </c>
      <c r="E113" s="11">
        <v>4.18</v>
      </c>
      <c r="F113" s="6">
        <v>1.87</v>
      </c>
      <c r="G113" s="6">
        <v>1.56</v>
      </c>
      <c r="H113" s="6">
        <v>1.41</v>
      </c>
      <c r="I113" s="6">
        <v>4.58</v>
      </c>
      <c r="J113" s="11">
        <v>3.44</v>
      </c>
      <c r="K113" s="6">
        <v>5.41</v>
      </c>
      <c r="L113" s="6">
        <v>8.57</v>
      </c>
      <c r="M113" s="6">
        <v>5.66</v>
      </c>
      <c r="N113" s="11">
        <v>49.89</v>
      </c>
      <c r="O113" s="12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x14ac:dyDescent="0.25">
      <c r="A114" s="8" t="s">
        <v>148</v>
      </c>
      <c r="B114" s="10">
        <v>4.12</v>
      </c>
      <c r="C114" s="10">
        <v>4.2</v>
      </c>
      <c r="D114" s="10">
        <v>4.8899999999999997</v>
      </c>
      <c r="E114" s="10">
        <v>4.18</v>
      </c>
      <c r="F114" s="10">
        <v>1.87</v>
      </c>
      <c r="G114" s="10">
        <v>1.56</v>
      </c>
      <c r="H114" s="10">
        <v>1.41</v>
      </c>
      <c r="I114" s="10">
        <v>4.58</v>
      </c>
      <c r="J114" s="10">
        <v>3.44</v>
      </c>
      <c r="K114" s="10">
        <v>5.41</v>
      </c>
      <c r="L114" s="10">
        <v>8.57</v>
      </c>
      <c r="M114" s="10">
        <v>5.66</v>
      </c>
      <c r="N114" s="10">
        <v>49.89</v>
      </c>
      <c r="O114" s="12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x14ac:dyDescent="0.25">
      <c r="A115" s="8" t="s">
        <v>149</v>
      </c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12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x14ac:dyDescent="0.25">
      <c r="A116" s="8" t="s">
        <v>150</v>
      </c>
      <c r="B116" s="6"/>
      <c r="C116" s="6"/>
      <c r="D116" s="6"/>
      <c r="E116" s="11"/>
      <c r="F116" s="11"/>
      <c r="G116" s="6">
        <v>150</v>
      </c>
      <c r="H116" s="6"/>
      <c r="I116" s="6">
        <v>53.89</v>
      </c>
      <c r="J116" s="6">
        <v>48.14</v>
      </c>
      <c r="K116" s="6"/>
      <c r="L116" s="11"/>
      <c r="M116" s="6"/>
      <c r="N116" s="11">
        <v>252.03</v>
      </c>
      <c r="O116" s="12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x14ac:dyDescent="0.25">
      <c r="A117" s="8" t="s">
        <v>151</v>
      </c>
      <c r="B117" s="6"/>
      <c r="C117" s="6"/>
      <c r="D117" s="6"/>
      <c r="E117" s="6">
        <v>-0.02</v>
      </c>
      <c r="F117" s="6"/>
      <c r="G117" s="6"/>
      <c r="H117" s="6"/>
      <c r="I117" s="11"/>
      <c r="J117" s="6"/>
      <c r="K117" s="6"/>
      <c r="L117" s="6"/>
      <c r="M117" s="6"/>
      <c r="N117" s="11">
        <v>-0.02</v>
      </c>
      <c r="O117" s="12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x14ac:dyDescent="0.25">
      <c r="A118" s="8" t="s">
        <v>152</v>
      </c>
      <c r="B118" s="10">
        <v>0</v>
      </c>
      <c r="C118" s="10">
        <v>0</v>
      </c>
      <c r="D118" s="10">
        <v>0</v>
      </c>
      <c r="E118" s="10">
        <v>-0.02</v>
      </c>
      <c r="F118" s="10">
        <v>0</v>
      </c>
      <c r="G118" s="10">
        <v>150</v>
      </c>
      <c r="H118" s="10">
        <v>0</v>
      </c>
      <c r="I118" s="10">
        <v>53.89</v>
      </c>
      <c r="J118" s="10">
        <v>48.14</v>
      </c>
      <c r="K118" s="10">
        <v>0</v>
      </c>
      <c r="L118" s="10">
        <v>0</v>
      </c>
      <c r="M118" s="10">
        <v>0</v>
      </c>
      <c r="N118" s="10">
        <v>252.01</v>
      </c>
      <c r="O118" s="12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x14ac:dyDescent="0.25">
      <c r="A119" s="15" t="s">
        <v>153</v>
      </c>
      <c r="B119" s="10">
        <f>B23-B44-B110+B114-B118</f>
        <v>-1092.3358787000607</v>
      </c>
      <c r="C119" s="10">
        <f>C23-C44-C110+C114-C118</f>
        <v>-1928.8939557593355</v>
      </c>
      <c r="D119" s="10">
        <f t="shared" ref="D119:N119" si="38">D23-D44-D110+D114-D118</f>
        <v>-3234.3273758334813</v>
      </c>
      <c r="E119" s="10">
        <f t="shared" si="38"/>
        <v>-1608.3327181168486</v>
      </c>
      <c r="F119" s="10">
        <f t="shared" si="38"/>
        <v>718.67290190521192</v>
      </c>
      <c r="G119" s="10">
        <f t="shared" si="38"/>
        <v>250.1298253615692</v>
      </c>
      <c r="H119" s="10">
        <f t="shared" si="38"/>
        <v>-1024.4577669292637</v>
      </c>
      <c r="I119" s="10">
        <f t="shared" si="38"/>
        <v>48.721861681640291</v>
      </c>
      <c r="J119" s="10">
        <f t="shared" si="38"/>
        <v>3430.0432826225406</v>
      </c>
      <c r="K119" s="10">
        <f t="shared" si="38"/>
        <v>5485.585888383368</v>
      </c>
      <c r="L119" s="10">
        <f t="shared" si="38"/>
        <v>8069.4366322785172</v>
      </c>
      <c r="M119" s="10">
        <f t="shared" si="38"/>
        <v>1370.3473031061187</v>
      </c>
      <c r="N119" s="10">
        <f t="shared" si="38"/>
        <v>10484.589999999904</v>
      </c>
      <c r="O119" s="12"/>
      <c r="P119" s="111">
        <f>SUM(B119:M119)</f>
        <v>10484.589999999975</v>
      </c>
      <c r="Q119" s="1"/>
      <c r="R119" s="1"/>
      <c r="S119" s="1"/>
      <c r="T119" s="1"/>
      <c r="U119" s="1"/>
      <c r="V119" s="1"/>
      <c r="W119" s="1"/>
      <c r="X119" s="1"/>
      <c r="Y119" s="1"/>
    </row>
    <row r="120" spans="1:25" x14ac:dyDescent="0.25">
      <c r="A120" s="15" t="s">
        <v>154</v>
      </c>
      <c r="B120" s="93">
        <f>B119/B23</f>
        <v>-4.7937347716262201E-2</v>
      </c>
      <c r="C120" s="93">
        <f t="shared" ref="C120:N120" si="39">C119/C23</f>
        <v>-7.062128383149896E-2</v>
      </c>
      <c r="D120" s="93">
        <f t="shared" si="39"/>
        <v>-0.13422550822633098</v>
      </c>
      <c r="E120" s="93">
        <f t="shared" si="39"/>
        <v>-6.4141295342935334E-2</v>
      </c>
      <c r="F120" s="93">
        <f t="shared" si="39"/>
        <v>2.3219706442514823E-2</v>
      </c>
      <c r="G120" s="93">
        <f t="shared" si="39"/>
        <v>9.3856605768423296E-3</v>
      </c>
      <c r="H120" s="93">
        <f t="shared" si="39"/>
        <v>-4.0341019389266666E-2</v>
      </c>
      <c r="I120" s="93">
        <f t="shared" si="39"/>
        <v>1.547980368903441E-3</v>
      </c>
      <c r="J120" s="93">
        <f t="shared" si="39"/>
        <v>0.10253516590825103</v>
      </c>
      <c r="K120" s="93">
        <f t="shared" si="39"/>
        <v>0.15402083083702203</v>
      </c>
      <c r="L120" s="93">
        <f t="shared" si="39"/>
        <v>0.21535686034956741</v>
      </c>
      <c r="M120" s="93">
        <f t="shared" si="39"/>
        <v>4.1533013350725866E-2</v>
      </c>
      <c r="N120" s="93">
        <f t="shared" si="39"/>
        <v>2.9678344086881393E-2</v>
      </c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x14ac:dyDescent="0.25">
      <c r="A121" s="8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x14ac:dyDescent="0.25">
      <c r="A122" s="8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x14ac:dyDescent="0.25">
      <c r="A123" s="187"/>
      <c r="B123" s="187"/>
      <c r="C123" s="187"/>
      <c r="D123" s="187"/>
      <c r="E123" s="187"/>
      <c r="F123" s="187"/>
      <c r="G123" s="187"/>
      <c r="H123" s="187"/>
      <c r="I123" s="187"/>
      <c r="J123" s="187"/>
      <c r="K123" s="187"/>
      <c r="L123" s="187"/>
      <c r="M123" s="187"/>
      <c r="N123" s="187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23.25" x14ac:dyDescent="0.35">
      <c r="A124" s="106" t="s">
        <v>214</v>
      </c>
      <c r="B124" s="107"/>
      <c r="C124" s="107"/>
      <c r="D124" s="107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x14ac:dyDescent="0.25">
      <c r="A125" s="8" t="s">
        <v>215</v>
      </c>
      <c r="B125" s="21"/>
      <c r="C125" s="21"/>
      <c r="D125" s="21"/>
      <c r="E125" s="21"/>
      <c r="F125" s="22"/>
      <c r="G125" s="22"/>
      <c r="H125" s="22"/>
      <c r="I125" s="22"/>
      <c r="J125" s="22"/>
      <c r="K125" s="22"/>
      <c r="L125" s="22"/>
      <c r="M125" s="22"/>
      <c r="N125" s="24">
        <v>0</v>
      </c>
    </row>
    <row r="126" spans="1:25" x14ac:dyDescent="0.25">
      <c r="A126" s="8" t="s">
        <v>216</v>
      </c>
      <c r="B126" s="22">
        <v>890.54</v>
      </c>
      <c r="C126" s="22">
        <v>798.65</v>
      </c>
      <c r="D126" s="22">
        <v>1025.44</v>
      </c>
      <c r="E126" s="22">
        <v>2067.4499999999998</v>
      </c>
      <c r="F126" s="22">
        <v>2345.67</v>
      </c>
      <c r="G126" s="22">
        <v>2256.87</v>
      </c>
      <c r="H126" s="22">
        <v>2178.67</v>
      </c>
      <c r="I126" s="22">
        <v>2737.12</v>
      </c>
      <c r="J126" s="22">
        <v>2643.89</v>
      </c>
      <c r="K126" s="22">
        <v>2436.71</v>
      </c>
      <c r="L126" s="22">
        <v>1876</v>
      </c>
      <c r="M126" s="22">
        <v>2156</v>
      </c>
      <c r="N126" s="24">
        <f>SUM(B126:M126)</f>
        <v>23413.01</v>
      </c>
    </row>
    <row r="127" spans="1:25" x14ac:dyDescent="0.25">
      <c r="A127" s="8" t="s">
        <v>217</v>
      </c>
      <c r="B127" s="21">
        <v>667.88</v>
      </c>
      <c r="C127" s="21">
        <v>598.66999999999996</v>
      </c>
      <c r="D127" s="21">
        <v>701.22</v>
      </c>
      <c r="E127" s="21">
        <v>1275.8800000000001</v>
      </c>
      <c r="F127" s="22">
        <v>1284.33</v>
      </c>
      <c r="G127" s="22">
        <v>1332.45</v>
      </c>
      <c r="H127" s="22">
        <v>1356.78</v>
      </c>
      <c r="I127" s="22">
        <v>1567.89</v>
      </c>
      <c r="J127" s="22">
        <v>1409.45</v>
      </c>
      <c r="K127" s="22">
        <v>1406.45</v>
      </c>
      <c r="L127" s="22">
        <v>1636.74</v>
      </c>
      <c r="M127" s="22">
        <v>1663.54</v>
      </c>
      <c r="N127" s="24">
        <f>SUM(B127:M127)</f>
        <v>14901.279999999999</v>
      </c>
    </row>
    <row r="128" spans="1:25" x14ac:dyDescent="0.25">
      <c r="A128" s="8" t="s">
        <v>218</v>
      </c>
      <c r="B128" s="21">
        <v>200.59</v>
      </c>
      <c r="C128" s="21">
        <v>195.95</v>
      </c>
      <c r="D128" s="21">
        <v>262.23</v>
      </c>
      <c r="E128" s="21">
        <v>265.64999999999998</v>
      </c>
      <c r="F128" s="22">
        <v>353.1</v>
      </c>
      <c r="G128" s="22">
        <v>290.10000000000002</v>
      </c>
      <c r="H128" s="22">
        <v>252.45</v>
      </c>
      <c r="I128" s="22">
        <v>323.87</v>
      </c>
      <c r="J128" s="22">
        <v>292.55</v>
      </c>
      <c r="K128" s="22">
        <v>413.82</v>
      </c>
      <c r="L128" s="22">
        <v>443.81</v>
      </c>
      <c r="M128" s="22">
        <v>386.79</v>
      </c>
      <c r="N128" s="24">
        <f>SUM(B128:M128)</f>
        <v>3680.9100000000003</v>
      </c>
    </row>
    <row r="129" spans="1:16" x14ac:dyDescent="0.25">
      <c r="A129" s="29" t="s">
        <v>219</v>
      </c>
      <c r="B129" s="25">
        <f>SUM(B126:B128)</f>
        <v>1759.01</v>
      </c>
      <c r="C129" s="25">
        <f t="shared" ref="C129:M129" si="40">SUM(C126:C128)</f>
        <v>1593.27</v>
      </c>
      <c r="D129" s="25">
        <f t="shared" si="40"/>
        <v>1988.89</v>
      </c>
      <c r="E129" s="25">
        <f t="shared" si="40"/>
        <v>3608.98</v>
      </c>
      <c r="F129" s="25">
        <f t="shared" si="40"/>
        <v>3983.1</v>
      </c>
      <c r="G129" s="25">
        <f t="shared" si="40"/>
        <v>3879.4199999999996</v>
      </c>
      <c r="H129" s="25">
        <f t="shared" si="40"/>
        <v>3787.8999999999996</v>
      </c>
      <c r="I129" s="25">
        <f t="shared" si="40"/>
        <v>4628.88</v>
      </c>
      <c r="J129" s="25">
        <f t="shared" si="40"/>
        <v>4345.8900000000003</v>
      </c>
      <c r="K129" s="25">
        <f t="shared" si="40"/>
        <v>4256.9799999999996</v>
      </c>
      <c r="L129" s="25">
        <f t="shared" si="40"/>
        <v>3956.5499999999997</v>
      </c>
      <c r="M129" s="25">
        <f t="shared" si="40"/>
        <v>4206.33</v>
      </c>
      <c r="N129" s="25">
        <f>SUM(N125:N128)</f>
        <v>41995.199999999997</v>
      </c>
    </row>
    <row r="130" spans="1:16" x14ac:dyDescent="0.25">
      <c r="A130" s="8" t="s">
        <v>220</v>
      </c>
      <c r="B130" s="22"/>
      <c r="C130" s="22"/>
      <c r="D130" s="21"/>
      <c r="E130" s="21"/>
      <c r="F130" s="21"/>
      <c r="G130" s="21"/>
      <c r="H130" s="22"/>
      <c r="I130" s="21"/>
      <c r="J130" s="21"/>
      <c r="K130" s="21"/>
      <c r="L130" s="21"/>
      <c r="M130" s="22"/>
      <c r="N130" s="24">
        <v>0</v>
      </c>
    </row>
    <row r="131" spans="1:16" ht="31.5" x14ac:dyDescent="0.25">
      <c r="A131" s="8" t="s">
        <v>221</v>
      </c>
      <c r="B131" s="21">
        <v>1886.77</v>
      </c>
      <c r="C131" s="21">
        <v>2064.12</v>
      </c>
      <c r="D131" s="21">
        <v>2241.48</v>
      </c>
      <c r="E131" s="21">
        <v>2457.5100000000002</v>
      </c>
      <c r="F131" s="21">
        <v>2696.19</v>
      </c>
      <c r="G131" s="21">
        <v>2818.83</v>
      </c>
      <c r="H131" s="21">
        <v>1886.77</v>
      </c>
      <c r="I131" s="21">
        <v>2564.12</v>
      </c>
      <c r="J131" s="21">
        <v>3357.51</v>
      </c>
      <c r="K131" s="21">
        <v>3905.61</v>
      </c>
      <c r="L131" s="21">
        <v>3805.61</v>
      </c>
      <c r="M131" s="21">
        <v>3350.97</v>
      </c>
      <c r="N131" s="24">
        <f>SUM(B131:M131)</f>
        <v>33035.490000000005</v>
      </c>
    </row>
    <row r="132" spans="1:16" x14ac:dyDescent="0.25">
      <c r="A132" s="78" t="s">
        <v>222</v>
      </c>
      <c r="B132" s="79">
        <v>488.04</v>
      </c>
      <c r="C132" s="79">
        <v>536.04</v>
      </c>
      <c r="D132" s="80">
        <v>324.02999999999997</v>
      </c>
      <c r="E132" s="80">
        <v>264.02</v>
      </c>
      <c r="F132" s="80">
        <v>216.02</v>
      </c>
      <c r="G132" s="80">
        <v>544.04999999999995</v>
      </c>
      <c r="H132" s="79">
        <v>592.04999999999995</v>
      </c>
      <c r="I132" s="80">
        <v>600.05999999999995</v>
      </c>
      <c r="J132" s="80">
        <v>560.07000000000005</v>
      </c>
      <c r="K132" s="80">
        <v>428.03</v>
      </c>
      <c r="L132" s="80">
        <v>372.02</v>
      </c>
      <c r="M132" s="79">
        <v>376.08</v>
      </c>
      <c r="N132" s="81">
        <f>SUM(B132:M132)</f>
        <v>5300.51</v>
      </c>
    </row>
    <row r="133" spans="1:16" x14ac:dyDescent="0.25">
      <c r="A133" s="71" t="s">
        <v>223</v>
      </c>
      <c r="B133" s="30">
        <f>B131+B132</f>
        <v>2374.81</v>
      </c>
      <c r="C133" s="30">
        <f t="shared" ref="C133:J133" si="41">C131+C132</f>
        <v>2600.16</v>
      </c>
      <c r="D133" s="30">
        <f t="shared" si="41"/>
        <v>2565.5100000000002</v>
      </c>
      <c r="E133" s="30">
        <f t="shared" si="41"/>
        <v>2721.53</v>
      </c>
      <c r="F133" s="30">
        <f t="shared" si="41"/>
        <v>2912.21</v>
      </c>
      <c r="G133" s="30">
        <f t="shared" si="41"/>
        <v>3362.88</v>
      </c>
      <c r="H133" s="30">
        <f t="shared" si="41"/>
        <v>2478.8199999999997</v>
      </c>
      <c r="I133" s="30">
        <f t="shared" si="41"/>
        <v>3164.18</v>
      </c>
      <c r="J133" s="30">
        <f t="shared" si="41"/>
        <v>3917.5800000000004</v>
      </c>
      <c r="K133" s="30">
        <f>K131+K132</f>
        <v>4333.6400000000003</v>
      </c>
      <c r="L133" s="30">
        <f t="shared" ref="L133:M133" si="42">L131+L132</f>
        <v>4177.63</v>
      </c>
      <c r="M133" s="30">
        <f t="shared" si="42"/>
        <v>3727.0499999999997</v>
      </c>
      <c r="N133" s="31">
        <f>SUM(N131:N132)</f>
        <v>38336.000000000007</v>
      </c>
    </row>
    <row r="134" spans="1:16" x14ac:dyDescent="0.25">
      <c r="A134" s="8" t="s">
        <v>224</v>
      </c>
      <c r="B134" s="22"/>
      <c r="C134" s="22"/>
      <c r="D134" s="21"/>
      <c r="E134" s="21"/>
      <c r="F134" s="21"/>
      <c r="G134" s="21"/>
      <c r="H134" s="22"/>
      <c r="I134" s="21"/>
      <c r="J134" s="21"/>
      <c r="K134" s="21"/>
      <c r="L134" s="21"/>
      <c r="M134" s="22"/>
      <c r="N134" s="24"/>
    </row>
    <row r="135" spans="1:16" x14ac:dyDescent="0.25">
      <c r="A135" s="8" t="s">
        <v>225</v>
      </c>
      <c r="B135" s="22">
        <v>376.78</v>
      </c>
      <c r="C135" s="22">
        <v>398.65</v>
      </c>
      <c r="D135" s="21">
        <v>404</v>
      </c>
      <c r="E135" s="21">
        <v>412</v>
      </c>
      <c r="F135" s="21">
        <v>445</v>
      </c>
      <c r="G135" s="21">
        <v>478</v>
      </c>
      <c r="H135" s="22">
        <v>456</v>
      </c>
      <c r="I135" s="21">
        <v>578.65</v>
      </c>
      <c r="J135" s="21">
        <v>607</v>
      </c>
      <c r="K135" s="21">
        <v>609</v>
      </c>
      <c r="L135" s="21">
        <v>657</v>
      </c>
      <c r="M135" s="22">
        <v>580</v>
      </c>
      <c r="N135" s="24">
        <f>SUM(B135:M135)</f>
        <v>6002.08</v>
      </c>
    </row>
    <row r="136" spans="1:16" x14ac:dyDescent="0.25">
      <c r="A136" s="73" t="s">
        <v>226</v>
      </c>
      <c r="B136" s="74">
        <v>2356</v>
      </c>
      <c r="C136" s="74">
        <v>2578</v>
      </c>
      <c r="D136" s="75">
        <v>2480</v>
      </c>
      <c r="E136" s="75">
        <v>2674</v>
      </c>
      <c r="F136" s="75">
        <v>2389</v>
      </c>
      <c r="G136" s="75">
        <v>2674</v>
      </c>
      <c r="H136" s="74">
        <v>2787</v>
      </c>
      <c r="I136" s="75">
        <v>2911</v>
      </c>
      <c r="J136" s="75">
        <v>2885</v>
      </c>
      <c r="K136" s="75">
        <v>2863</v>
      </c>
      <c r="L136" s="75">
        <v>2367</v>
      </c>
      <c r="M136" s="74">
        <v>2237</v>
      </c>
      <c r="N136" s="82">
        <f>SUM(B136:M136)</f>
        <v>31201</v>
      </c>
      <c r="O136" s="72"/>
      <c r="P136" s="72"/>
    </row>
    <row r="137" spans="1:16" x14ac:dyDescent="0.25">
      <c r="A137" s="29" t="s">
        <v>227</v>
      </c>
      <c r="B137" s="30">
        <f>SUM(B135:B136)</f>
        <v>2732.7799999999997</v>
      </c>
      <c r="C137" s="30">
        <f t="shared" ref="C137:N137" si="43">SUM(C135:C136)</f>
        <v>2976.65</v>
      </c>
      <c r="D137" s="30">
        <f t="shared" si="43"/>
        <v>2884</v>
      </c>
      <c r="E137" s="30">
        <f t="shared" si="43"/>
        <v>3086</v>
      </c>
      <c r="F137" s="30">
        <f t="shared" si="43"/>
        <v>2834</v>
      </c>
      <c r="G137" s="30">
        <f t="shared" si="43"/>
        <v>3152</v>
      </c>
      <c r="H137" s="30">
        <f t="shared" si="43"/>
        <v>3243</v>
      </c>
      <c r="I137" s="30">
        <f t="shared" si="43"/>
        <v>3489.65</v>
      </c>
      <c r="J137" s="30">
        <f t="shared" si="43"/>
        <v>3492</v>
      </c>
      <c r="K137" s="30">
        <f t="shared" si="43"/>
        <v>3472</v>
      </c>
      <c r="L137" s="30">
        <f t="shared" si="43"/>
        <v>3024</v>
      </c>
      <c r="M137" s="30">
        <f t="shared" si="43"/>
        <v>2817</v>
      </c>
      <c r="N137" s="30">
        <f t="shared" si="43"/>
        <v>37203.08</v>
      </c>
    </row>
    <row r="138" spans="1:16" x14ac:dyDescent="0.25">
      <c r="A138" s="8" t="s">
        <v>228</v>
      </c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</row>
    <row r="139" spans="1:16" x14ac:dyDescent="0.25">
      <c r="A139" s="158" t="s">
        <v>229</v>
      </c>
      <c r="B139" s="159">
        <v>8245</v>
      </c>
      <c r="C139" s="159">
        <v>8301</v>
      </c>
      <c r="D139" s="159">
        <v>8456</v>
      </c>
      <c r="E139" s="159">
        <v>8540</v>
      </c>
      <c r="F139" s="159">
        <v>9156</v>
      </c>
      <c r="G139" s="159">
        <v>9245</v>
      </c>
      <c r="H139" s="159">
        <v>9867</v>
      </c>
      <c r="I139" s="160">
        <v>10164</v>
      </c>
      <c r="J139" s="159">
        <v>9423</v>
      </c>
      <c r="K139" s="160">
        <v>9785</v>
      </c>
      <c r="L139" s="160">
        <v>9657</v>
      </c>
      <c r="M139" s="160">
        <v>9785</v>
      </c>
      <c r="N139" s="161">
        <f>SUM(B139:M139)</f>
        <v>110624</v>
      </c>
    </row>
    <row r="140" spans="1:16" x14ac:dyDescent="0.25">
      <c r="A140" s="158" t="s">
        <v>258</v>
      </c>
      <c r="B140" s="159">
        <f>(B139*'ProForma Prod'!$Q$29)*-1</f>
        <v>-1649</v>
      </c>
      <c r="C140" s="159">
        <f>(C139*'ProForma Prod'!$Q$29)*-1</f>
        <v>-1660.2</v>
      </c>
      <c r="D140" s="159">
        <f>(D139*'ProForma Prod'!$Q$29)*-1</f>
        <v>-1691.2</v>
      </c>
      <c r="E140" s="159">
        <f>(E139*'ProForma Prod'!$Q$29)*-1</f>
        <v>-1708</v>
      </c>
      <c r="F140" s="159">
        <f>(F139*'ProForma Prod'!$Q$29)*-1</f>
        <v>-1831.2</v>
      </c>
      <c r="G140" s="159">
        <f>(G139*'ProForma Prod'!$Q$29)*-1</f>
        <v>-1849</v>
      </c>
      <c r="H140" s="159">
        <f>(H139*'ProForma Prod'!$Q$29)*-1</f>
        <v>-1973.4</v>
      </c>
      <c r="I140" s="159">
        <f>(I139*'ProForma Prod'!$Q$29)*-1</f>
        <v>-2032.8000000000002</v>
      </c>
      <c r="J140" s="159">
        <f>(J139*'ProForma Prod'!$Q$29)*-1</f>
        <v>-1884.6000000000001</v>
      </c>
      <c r="K140" s="159">
        <f>(K139*'ProForma Prod'!$Q$29)*-1</f>
        <v>-1957</v>
      </c>
      <c r="L140" s="159">
        <f>(L139*'ProForma Prod'!$Q$29)*-1</f>
        <v>-1931.4</v>
      </c>
      <c r="M140" s="159">
        <f>(M139*'ProForma Prod'!$Q$29)*-1</f>
        <v>-1957</v>
      </c>
      <c r="N140" s="161">
        <f>SUM(B140:M140)</f>
        <v>-22124.800000000003</v>
      </c>
    </row>
    <row r="141" spans="1:16" x14ac:dyDescent="0.25">
      <c r="A141" s="8" t="s">
        <v>230</v>
      </c>
      <c r="B141" s="22"/>
      <c r="C141" s="22"/>
      <c r="D141" s="22"/>
      <c r="E141" s="22"/>
      <c r="F141" s="22"/>
      <c r="G141" s="22"/>
      <c r="H141" s="22"/>
      <c r="I141" s="21">
        <v>1016.54</v>
      </c>
      <c r="J141" s="22">
        <v>839.75</v>
      </c>
      <c r="K141" s="21">
        <v>1237.53</v>
      </c>
      <c r="L141" s="21">
        <v>751.35</v>
      </c>
      <c r="M141" s="21">
        <v>574.58000000000004</v>
      </c>
      <c r="N141" s="24">
        <f t="shared" ref="N141:N142" si="44">SUM(B141:M141)</f>
        <v>4419.75</v>
      </c>
    </row>
    <row r="142" spans="1:16" x14ac:dyDescent="0.25">
      <c r="A142" s="8" t="s">
        <v>231</v>
      </c>
      <c r="B142" s="22"/>
      <c r="C142" s="22"/>
      <c r="D142" s="22"/>
      <c r="E142" s="22"/>
      <c r="F142" s="22"/>
      <c r="G142" s="22"/>
      <c r="H142" s="22"/>
      <c r="I142" s="21">
        <v>353.04</v>
      </c>
      <c r="J142" s="22">
        <v>408.79</v>
      </c>
      <c r="K142" s="21">
        <v>427.37</v>
      </c>
      <c r="L142" s="21">
        <v>408.79</v>
      </c>
      <c r="M142" s="21">
        <v>260.14</v>
      </c>
      <c r="N142" s="24">
        <f t="shared" si="44"/>
        <v>1858.13</v>
      </c>
    </row>
    <row r="143" spans="1:16" x14ac:dyDescent="0.25">
      <c r="A143" s="29" t="s">
        <v>232</v>
      </c>
      <c r="B143" s="25">
        <f>SUM(B139:B142)</f>
        <v>6596</v>
      </c>
      <c r="C143" s="25">
        <f t="shared" ref="C143:F143" si="45">SUM(C139:C142)</f>
        <v>6640.8</v>
      </c>
      <c r="D143" s="25">
        <f t="shared" si="45"/>
        <v>6764.8</v>
      </c>
      <c r="E143" s="25">
        <f t="shared" si="45"/>
        <v>6832</v>
      </c>
      <c r="F143" s="25">
        <f t="shared" si="45"/>
        <v>7324.8</v>
      </c>
      <c r="G143" s="25">
        <f>SUM(G139:G142)</f>
        <v>7396</v>
      </c>
      <c r="H143" s="25">
        <f t="shared" ref="H143:J143" si="46">SUM(H139:H142)</f>
        <v>7893.6</v>
      </c>
      <c r="I143" s="25">
        <f t="shared" si="46"/>
        <v>9500.7800000000007</v>
      </c>
      <c r="J143" s="25">
        <f t="shared" si="46"/>
        <v>8786.94</v>
      </c>
      <c r="K143" s="25">
        <f>SUM(K139:K142)</f>
        <v>9492.9000000000015</v>
      </c>
      <c r="L143" s="25">
        <f t="shared" ref="L143:N143" si="47">SUM(L139:L142)</f>
        <v>8885.7400000000016</v>
      </c>
      <c r="M143" s="25">
        <f t="shared" si="47"/>
        <v>8662.7199999999993</v>
      </c>
      <c r="N143" s="25">
        <f t="shared" si="47"/>
        <v>94777.08</v>
      </c>
    </row>
    <row r="144" spans="1:16" x14ac:dyDescent="0.25">
      <c r="A144" s="76" t="s">
        <v>233</v>
      </c>
      <c r="B144" s="77">
        <v>1256</v>
      </c>
      <c r="C144" s="77">
        <v>1345</v>
      </c>
      <c r="D144" s="77">
        <v>1423</v>
      </c>
      <c r="E144" s="77">
        <v>1767</v>
      </c>
      <c r="F144" s="77">
        <v>1723</v>
      </c>
      <c r="G144" s="77">
        <v>1556</v>
      </c>
      <c r="H144" s="77">
        <v>1108</v>
      </c>
      <c r="I144" s="77">
        <v>1034</v>
      </c>
      <c r="J144" s="77">
        <v>887</v>
      </c>
      <c r="K144" s="77">
        <v>866</v>
      </c>
      <c r="L144" s="77">
        <v>823</v>
      </c>
      <c r="M144" s="77">
        <v>712</v>
      </c>
      <c r="N144" s="77">
        <f>SUM(B144:M144)</f>
        <v>14500</v>
      </c>
    </row>
    <row r="145" spans="1:14" x14ac:dyDescent="0.25">
      <c r="A145" s="8" t="s">
        <v>83</v>
      </c>
      <c r="B145" s="25">
        <f>B129+B133+B137+B143+B144</f>
        <v>14718.599999999999</v>
      </c>
      <c r="C145" s="25">
        <f t="shared" ref="C145:F145" si="48">C129+C133+C137+C143+C144</f>
        <v>15155.880000000001</v>
      </c>
      <c r="D145" s="25">
        <f t="shared" si="48"/>
        <v>15626.2</v>
      </c>
      <c r="E145" s="25">
        <f t="shared" si="48"/>
        <v>18015.510000000002</v>
      </c>
      <c r="F145" s="25">
        <f t="shared" si="48"/>
        <v>18777.11</v>
      </c>
      <c r="G145" s="25">
        <f>G129+G133+G137+G143+G144</f>
        <v>19346.3</v>
      </c>
      <c r="H145" s="25">
        <f t="shared" ref="H145:J145" si="49">H129+H133+H137+H143+H144</f>
        <v>18511.32</v>
      </c>
      <c r="I145" s="25">
        <f t="shared" si="49"/>
        <v>21817.489999999998</v>
      </c>
      <c r="J145" s="25">
        <f t="shared" si="49"/>
        <v>21429.410000000003</v>
      </c>
      <c r="K145" s="25">
        <f>K129+K133+K137+K143+K144</f>
        <v>22421.52</v>
      </c>
      <c r="L145" s="25">
        <f t="shared" ref="L145:M145" si="50">L129+L133+L137+L143+L144</f>
        <v>20866.920000000002</v>
      </c>
      <c r="M145" s="25">
        <f t="shared" si="50"/>
        <v>20125.099999999999</v>
      </c>
      <c r="N145" s="25">
        <f>N129+N133+N137+N143+N144</f>
        <v>226811.36000000002</v>
      </c>
    </row>
    <row r="146" spans="1:14" x14ac:dyDescent="0.25">
      <c r="A146" s="29" t="s">
        <v>84</v>
      </c>
      <c r="B146" s="25">
        <f t="shared" ref="B146:N146" si="51">B23-B145</f>
        <v>8068.1400000000031</v>
      </c>
      <c r="C146" s="25">
        <f t="shared" si="51"/>
        <v>12157.329999999998</v>
      </c>
      <c r="D146" s="25">
        <f t="shared" si="51"/>
        <v>8470.02</v>
      </c>
      <c r="E146" s="25">
        <f t="shared" si="51"/>
        <v>7059.3299999999981</v>
      </c>
      <c r="F146" s="25">
        <f t="shared" si="51"/>
        <v>12173.880000000001</v>
      </c>
      <c r="G146" s="25">
        <f t="shared" si="51"/>
        <v>7303.91</v>
      </c>
      <c r="H146" s="25">
        <f t="shared" si="51"/>
        <v>6883.6200000000026</v>
      </c>
      <c r="I146" s="25">
        <f t="shared" si="51"/>
        <v>9656.9800000000032</v>
      </c>
      <c r="J146" s="25">
        <f t="shared" si="51"/>
        <v>12022.949999999997</v>
      </c>
      <c r="K146" s="25">
        <f t="shared" si="51"/>
        <v>13194.350000000002</v>
      </c>
      <c r="L146" s="25">
        <f t="shared" si="51"/>
        <v>16603.150000000005</v>
      </c>
      <c r="M146" s="25">
        <f t="shared" si="51"/>
        <v>12869.07</v>
      </c>
      <c r="N146" s="25">
        <f t="shared" si="51"/>
        <v>126462.72999999995</v>
      </c>
    </row>
    <row r="147" spans="1:14" x14ac:dyDescent="0.25">
      <c r="A147" s="29" t="s">
        <v>85</v>
      </c>
      <c r="B147" s="16">
        <f t="shared" ref="B147:N147" si="52">B146/B23</f>
        <v>0.35407171012615241</v>
      </c>
      <c r="C147" s="16">
        <f t="shared" si="52"/>
        <v>0.44510806309474421</v>
      </c>
      <c r="D147" s="16">
        <f t="shared" si="52"/>
        <v>0.35150824486164223</v>
      </c>
      <c r="E147" s="16">
        <f t="shared" si="52"/>
        <v>0.2815304105629387</v>
      </c>
      <c r="F147" s="16">
        <f t="shared" si="52"/>
        <v>0.39332764477000576</v>
      </c>
      <c r="G147" s="16">
        <f t="shared" si="52"/>
        <v>0.27406575783080134</v>
      </c>
      <c r="H147" s="16">
        <f t="shared" si="52"/>
        <v>0.27106266051425998</v>
      </c>
      <c r="I147" s="16">
        <f t="shared" si="52"/>
        <v>0.30681946352075201</v>
      </c>
      <c r="J147" s="16">
        <f t="shared" si="52"/>
        <v>0.35940513613987163</v>
      </c>
      <c r="K147" s="16">
        <f t="shared" si="52"/>
        <v>0.37046266172916742</v>
      </c>
      <c r="L147" s="16">
        <f t="shared" si="52"/>
        <v>0.4431043229969947</v>
      </c>
      <c r="M147" s="16">
        <f t="shared" si="52"/>
        <v>0.39004072537663476</v>
      </c>
      <c r="N147" s="16">
        <f t="shared" si="52"/>
        <v>0.35797340812625111</v>
      </c>
    </row>
    <row r="148" spans="1:14" x14ac:dyDescent="0.25">
      <c r="A148" s="8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</row>
  </sheetData>
  <sheetProtection algorithmName="SHA-512" hashValue="iMN6RhBzLyt9+cWAmfGi3LM1Kecq1euVtSXDGicBGUIOlNuhbWLJsPyuJ9c7S3YJUHyGCMnjD63GYCLyeRY1+w==" saltValue="WvqNZL9u/oeg3N/VDGZOng==" spinCount="100000" sheet="1" objects="1" scenarios="1"/>
  <mergeCells count="3">
    <mergeCell ref="A1:N1"/>
    <mergeCell ref="A2:N2"/>
    <mergeCell ref="A123:N1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42FBF-4573-B642-9F4D-8D14184268EF}">
  <dimension ref="A1:Y147"/>
  <sheetViews>
    <sheetView tabSelected="1" zoomScale="120" zoomScaleNormal="120" workbookViewId="0">
      <pane xSplit="1" ySplit="4" topLeftCell="P32" activePane="bottomRight" state="frozen"/>
      <selection pane="topRight" activeCell="B1" sqref="B1"/>
      <selection pane="bottomLeft" activeCell="A5" sqref="A5"/>
      <selection pane="bottomRight" activeCell="N46" sqref="N46"/>
    </sheetView>
  </sheetViews>
  <sheetFormatPr defaultColWidth="11" defaultRowHeight="15.75" x14ac:dyDescent="0.25"/>
  <cols>
    <col min="1" max="1" width="37" customWidth="1"/>
    <col min="2" max="2" width="12.5" customWidth="1"/>
    <col min="3" max="9" width="15" bestFit="1" customWidth="1"/>
    <col min="10" max="12" width="14" bestFit="1" customWidth="1"/>
    <col min="13" max="13" width="12.875" bestFit="1" customWidth="1"/>
    <col min="14" max="14" width="16.625" bestFit="1" customWidth="1"/>
    <col min="15" max="15" width="11.125" customWidth="1"/>
    <col min="16" max="16" width="25.125" customWidth="1"/>
    <col min="17" max="17" width="10.625" customWidth="1"/>
    <col min="18" max="18" width="19.875" customWidth="1"/>
    <col min="19" max="19" width="10.375" customWidth="1"/>
    <col min="20" max="20" width="21" customWidth="1"/>
  </cols>
  <sheetData>
    <row r="1" spans="1:25" ht="30.95" customHeight="1" x14ac:dyDescent="0.4">
      <c r="A1" s="185" t="s">
        <v>175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20.100000000000001" customHeight="1" x14ac:dyDescent="0.3">
      <c r="A2" s="186" t="s">
        <v>1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0.25" x14ac:dyDescent="0.3">
      <c r="A3" s="12"/>
      <c r="B3" s="96" t="s">
        <v>2</v>
      </c>
      <c r="C3" s="95"/>
      <c r="D3" s="95"/>
      <c r="E3" s="95"/>
      <c r="F3" s="95"/>
      <c r="G3" s="95"/>
      <c r="H3" s="95"/>
      <c r="I3" s="12"/>
      <c r="J3" s="12"/>
      <c r="K3" s="12"/>
      <c r="L3" s="12"/>
      <c r="M3" s="12"/>
      <c r="N3" s="12"/>
      <c r="O3" s="12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0.25" x14ac:dyDescent="0.3">
      <c r="A4" s="6"/>
      <c r="B4" s="7" t="s">
        <v>3</v>
      </c>
      <c r="C4" s="20">
        <v>45068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7" t="s">
        <v>12</v>
      </c>
      <c r="M4" s="7" t="s">
        <v>13</v>
      </c>
      <c r="N4" s="7" t="s">
        <v>14</v>
      </c>
      <c r="O4" s="112" t="s">
        <v>244</v>
      </c>
      <c r="P4" s="1"/>
      <c r="Q4" s="1"/>
      <c r="R4" s="70" t="s">
        <v>246</v>
      </c>
      <c r="S4" s="138">
        <v>0.3</v>
      </c>
      <c r="T4" s="67">
        <f>S5/(1+S4)</f>
        <v>0.96153846153846145</v>
      </c>
      <c r="U4" s="1"/>
      <c r="V4" s="1"/>
      <c r="W4" s="1"/>
      <c r="X4" s="1"/>
      <c r="Y4" s="1"/>
    </row>
    <row r="5" spans="1:25" ht="18.75" x14ac:dyDescent="0.3">
      <c r="A5" s="8" t="s">
        <v>15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P5" s="146" t="s">
        <v>248</v>
      </c>
      <c r="Q5" s="1"/>
      <c r="R5" s="136" t="s">
        <v>177</v>
      </c>
      <c r="S5" s="137">
        <f>1.25*(1+O7)</f>
        <v>1.25</v>
      </c>
      <c r="T5" s="1"/>
      <c r="U5" s="1"/>
      <c r="V5" s="1"/>
      <c r="W5" s="1"/>
      <c r="X5" s="1"/>
      <c r="Y5" s="1"/>
    </row>
    <row r="6" spans="1:25" ht="19.5" customHeight="1" x14ac:dyDescent="0.35">
      <c r="A6" s="8" t="s">
        <v>243</v>
      </c>
      <c r="B6" s="63">
        <f>'TTM Prod '!B6*(1+'ProForma Prod'!$O$6)</f>
        <v>4790.5360000000001</v>
      </c>
      <c r="C6" s="63">
        <f>'TTM Prod '!C6*(1+'ProForma Prod'!$O$6)</f>
        <v>4076.1519999999996</v>
      </c>
      <c r="D6" s="63">
        <f>'TTM Prod '!D6*(1+'ProForma Prod'!$O$6)</f>
        <v>4622.4399999999996</v>
      </c>
      <c r="E6" s="63">
        <f>'TTM Prod '!E6*(1+'ProForma Prod'!$O$6)</f>
        <v>7227.8240000000005</v>
      </c>
      <c r="F6" s="63">
        <f>'TTM Prod '!F6*(1+'ProForma Prod'!$O$6)</f>
        <v>8278.3760000000002</v>
      </c>
      <c r="G6" s="63">
        <f>'TTM Prod '!G6*(1+'ProForma Prod'!$O$6)</f>
        <v>7606.0160000000005</v>
      </c>
      <c r="H6" s="63">
        <f>'TTM Prod '!H6*(1+'ProForma Prod'!$O$6)</f>
        <v>4622.4400000000005</v>
      </c>
      <c r="I6" s="63">
        <f>'TTM Prod '!I6*(1+'ProForma Prod'!$O$6)</f>
        <v>4202.2160000000003</v>
      </c>
      <c r="J6" s="63">
        <f>'TTM Prod '!J6*(1+'ProForma Prod'!$O$6)</f>
        <v>7942.2080000000005</v>
      </c>
      <c r="K6" s="63">
        <f>'TTM Prod '!K6*(1+'ProForma Prod'!$O$6)</f>
        <v>8236.36</v>
      </c>
      <c r="L6" s="63">
        <f>'TTM Prod '!L6*(1+'ProForma Prod'!$O$6)</f>
        <v>13068.928</v>
      </c>
      <c r="M6" s="63">
        <f>'TTM Prod '!M6*(1+'ProForma Prod'!$O$6)</f>
        <v>9370.9600000000009</v>
      </c>
      <c r="N6" s="63">
        <f>SUM(B6:M6)</f>
        <v>84044.45600000002</v>
      </c>
      <c r="O6" s="150">
        <v>0</v>
      </c>
      <c r="P6" s="162" t="s">
        <v>245</v>
      </c>
      <c r="Q6" s="131" t="s">
        <v>251</v>
      </c>
      <c r="R6" s="130" t="s">
        <v>180</v>
      </c>
      <c r="S6" s="139">
        <f>'TTM Prod '!S6</f>
        <v>0.5480873475439545</v>
      </c>
      <c r="T6" s="1"/>
      <c r="U6" s="1"/>
      <c r="V6" s="1"/>
      <c r="W6" s="1"/>
      <c r="X6" s="1"/>
      <c r="Y6" s="1"/>
    </row>
    <row r="7" spans="1:25" x14ac:dyDescent="0.25">
      <c r="A7" s="29" t="s">
        <v>181</v>
      </c>
      <c r="B7" s="60">
        <f>B6*$Q$7*$S$5</f>
        <v>2994.085</v>
      </c>
      <c r="C7" s="60">
        <f t="shared" ref="C7:M7" si="0">C6*$Q$7*$S$5</f>
        <v>2547.5949999999998</v>
      </c>
      <c r="D7" s="60">
        <f t="shared" si="0"/>
        <v>2889.0249999999996</v>
      </c>
      <c r="E7" s="60">
        <f t="shared" si="0"/>
        <v>4517.3900000000003</v>
      </c>
      <c r="F7" s="60">
        <f t="shared" si="0"/>
        <v>5173.9850000000006</v>
      </c>
      <c r="G7" s="60">
        <f t="shared" si="0"/>
        <v>4753.76</v>
      </c>
      <c r="H7" s="60">
        <f t="shared" si="0"/>
        <v>2889.0250000000005</v>
      </c>
      <c r="I7" s="60">
        <f t="shared" si="0"/>
        <v>2626.3850000000002</v>
      </c>
      <c r="J7" s="60">
        <f t="shared" si="0"/>
        <v>4963.88</v>
      </c>
      <c r="K7" s="60">
        <f t="shared" si="0"/>
        <v>5147.7250000000004</v>
      </c>
      <c r="L7" s="60">
        <f t="shared" si="0"/>
        <v>8168.08</v>
      </c>
      <c r="M7" s="60">
        <f t="shared" si="0"/>
        <v>5856.85</v>
      </c>
      <c r="N7" s="98">
        <f>SUM(B7:M7)</f>
        <v>52527.785000000003</v>
      </c>
      <c r="O7" s="144">
        <v>0</v>
      </c>
      <c r="P7" s="164" t="s">
        <v>247</v>
      </c>
      <c r="Q7" s="130">
        <v>0.5</v>
      </c>
      <c r="R7" s="130" t="s">
        <v>182</v>
      </c>
      <c r="S7" s="140">
        <f>N129+N131+N135+N139+N140+N141</f>
        <v>173951.72000000003</v>
      </c>
      <c r="T7" s="4"/>
      <c r="U7" s="1"/>
      <c r="V7" s="1"/>
      <c r="W7" s="1"/>
      <c r="X7" s="1"/>
      <c r="Y7" s="1"/>
    </row>
    <row r="8" spans="1:25" x14ac:dyDescent="0.25">
      <c r="A8" s="8" t="s">
        <v>183</v>
      </c>
      <c r="B8" s="61">
        <f>B6*$Q$8*$S$5</f>
        <v>598.81700000000001</v>
      </c>
      <c r="C8" s="61">
        <f t="shared" ref="C8:M8" si="1">C6*$Q$8*$S$5</f>
        <v>509.51899999999995</v>
      </c>
      <c r="D8" s="61">
        <f t="shared" si="1"/>
        <v>577.80499999999995</v>
      </c>
      <c r="E8" s="61">
        <f t="shared" si="1"/>
        <v>903.47800000000007</v>
      </c>
      <c r="F8" s="61">
        <f t="shared" si="1"/>
        <v>1034.797</v>
      </c>
      <c r="G8" s="61">
        <f t="shared" si="1"/>
        <v>950.75200000000007</v>
      </c>
      <c r="H8" s="61">
        <f t="shared" si="1"/>
        <v>577.80500000000006</v>
      </c>
      <c r="I8" s="61">
        <f t="shared" si="1"/>
        <v>525.27700000000004</v>
      </c>
      <c r="J8" s="61">
        <f t="shared" si="1"/>
        <v>992.77600000000007</v>
      </c>
      <c r="K8" s="61">
        <f t="shared" si="1"/>
        <v>1029.5450000000001</v>
      </c>
      <c r="L8" s="61">
        <f t="shared" si="1"/>
        <v>1633.616</v>
      </c>
      <c r="M8" s="61">
        <f t="shared" si="1"/>
        <v>1171.3700000000001</v>
      </c>
      <c r="N8" s="98">
        <f t="shared" ref="N8:N10" si="2">SUM(B8:M8)</f>
        <v>10505.557000000003</v>
      </c>
      <c r="O8" s="35"/>
      <c r="P8" s="165" t="s">
        <v>268</v>
      </c>
      <c r="Q8" s="130">
        <v>0.1</v>
      </c>
      <c r="R8" s="130" t="s">
        <v>184</v>
      </c>
      <c r="S8" s="140">
        <f>N132+N143</f>
        <v>100077.59</v>
      </c>
      <c r="T8" s="4"/>
      <c r="U8" s="1"/>
      <c r="V8" s="1"/>
      <c r="W8" s="1"/>
      <c r="X8" s="1"/>
      <c r="Y8" s="1"/>
    </row>
    <row r="9" spans="1:25" x14ac:dyDescent="0.25">
      <c r="A9" s="29" t="s">
        <v>185</v>
      </c>
      <c r="B9" s="61">
        <f>B6*$Q$9*$S$5</f>
        <v>2395.268</v>
      </c>
      <c r="C9" s="61">
        <f t="shared" ref="C9:M9" si="3">C6*$Q$9*$S$5</f>
        <v>2038.0759999999998</v>
      </c>
      <c r="D9" s="61">
        <f t="shared" si="3"/>
        <v>2311.2199999999998</v>
      </c>
      <c r="E9" s="61">
        <f t="shared" si="3"/>
        <v>3613.9120000000003</v>
      </c>
      <c r="F9" s="61">
        <f t="shared" si="3"/>
        <v>4139.1880000000001</v>
      </c>
      <c r="G9" s="61">
        <f t="shared" si="3"/>
        <v>3803.0080000000003</v>
      </c>
      <c r="H9" s="61">
        <f t="shared" si="3"/>
        <v>2311.2200000000003</v>
      </c>
      <c r="I9" s="61">
        <f t="shared" si="3"/>
        <v>2101.1080000000002</v>
      </c>
      <c r="J9" s="61">
        <f t="shared" si="3"/>
        <v>3971.1040000000003</v>
      </c>
      <c r="K9" s="61">
        <f t="shared" si="3"/>
        <v>4118.18</v>
      </c>
      <c r="L9" s="61">
        <f t="shared" si="3"/>
        <v>6534.4639999999999</v>
      </c>
      <c r="M9" s="61">
        <f t="shared" si="3"/>
        <v>4685.4800000000005</v>
      </c>
      <c r="N9" s="98">
        <f t="shared" si="2"/>
        <v>42022.22800000001</v>
      </c>
      <c r="O9" s="33"/>
      <c r="P9" s="133"/>
      <c r="Q9" s="130">
        <v>0.4</v>
      </c>
      <c r="R9" s="130" t="s">
        <v>186</v>
      </c>
      <c r="S9" s="141">
        <f>N10/(N10+(N15*1.3))</f>
        <v>0.26200865858661837</v>
      </c>
      <c r="T9" s="142">
        <f>S7*S9</f>
        <v>45576.856816035041</v>
      </c>
      <c r="U9" s="1"/>
      <c r="V9" s="1"/>
      <c r="W9" s="1"/>
      <c r="X9" s="1"/>
      <c r="Y9" s="1"/>
    </row>
    <row r="10" spans="1:25" x14ac:dyDescent="0.25">
      <c r="A10" s="29" t="s">
        <v>187</v>
      </c>
      <c r="B10" s="25">
        <f>SUM(B7:B9)</f>
        <v>5988.17</v>
      </c>
      <c r="C10" s="25">
        <f t="shared" ref="C10:M10" si="4">SUM(C7:C9)</f>
        <v>5095.1899999999996</v>
      </c>
      <c r="D10" s="25">
        <f t="shared" si="4"/>
        <v>5778.0499999999993</v>
      </c>
      <c r="E10" s="25">
        <f t="shared" si="4"/>
        <v>9034.7800000000007</v>
      </c>
      <c r="F10" s="25">
        <f t="shared" si="4"/>
        <v>10347.970000000001</v>
      </c>
      <c r="G10" s="25">
        <f t="shared" si="4"/>
        <v>9507.52</v>
      </c>
      <c r="H10" s="25">
        <f t="shared" si="4"/>
        <v>5778.0500000000011</v>
      </c>
      <c r="I10" s="25">
        <f t="shared" si="4"/>
        <v>5252.77</v>
      </c>
      <c r="J10" s="25">
        <f t="shared" si="4"/>
        <v>9927.76</v>
      </c>
      <c r="K10" s="25">
        <f t="shared" si="4"/>
        <v>10295.450000000001</v>
      </c>
      <c r="L10" s="25">
        <f t="shared" si="4"/>
        <v>16336.16</v>
      </c>
      <c r="M10" s="25">
        <f t="shared" si="4"/>
        <v>11713.7</v>
      </c>
      <c r="N10" s="99">
        <f t="shared" si="2"/>
        <v>105055.57</v>
      </c>
      <c r="O10" s="128"/>
      <c r="P10" s="134"/>
      <c r="Q10" s="130"/>
      <c r="R10" s="130" t="s">
        <v>188</v>
      </c>
      <c r="S10" s="141">
        <f>(N15*1.3)/((N15*1.3)+N10)</f>
        <v>0.73799134141338163</v>
      </c>
      <c r="T10" s="142">
        <f>+S7*S10</f>
        <v>128374.86318396499</v>
      </c>
      <c r="U10" s="1"/>
      <c r="V10" s="1"/>
      <c r="W10" s="1"/>
      <c r="X10" s="1"/>
      <c r="Y10" s="1"/>
    </row>
    <row r="11" spans="1:25" ht="18.75" x14ac:dyDescent="0.3">
      <c r="A11" s="29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33"/>
      <c r="P11" s="145" t="s">
        <v>249</v>
      </c>
      <c r="Q11" s="130"/>
      <c r="R11" s="1"/>
      <c r="S11" s="36"/>
      <c r="T11" s="59"/>
      <c r="U11" s="1"/>
      <c r="V11" s="1"/>
      <c r="W11" s="1"/>
      <c r="X11" s="1"/>
      <c r="Y11" s="1"/>
    </row>
    <row r="12" spans="1:25" x14ac:dyDescent="0.25">
      <c r="A12" s="8" t="s">
        <v>189</v>
      </c>
      <c r="B12" s="63">
        <f>'TTM Prod '!B12*(1+'ProForma Prod'!$O$12)</f>
        <v>16807.492000000002</v>
      </c>
      <c r="C12" s="63">
        <f>'TTM Prod '!C12*(1+'ProForma Prod'!$O$12)</f>
        <v>22429.721600000004</v>
      </c>
      <c r="D12" s="63">
        <f>'TTM Prod '!D12*(1+'ProForma Prod'!$O$12)</f>
        <v>17813.577600000004</v>
      </c>
      <c r="E12" s="63">
        <f>'TTM Prod '!E12*(1+'ProForma Prod'!$O$12)</f>
        <v>14795.331200000002</v>
      </c>
      <c r="F12" s="63">
        <f>'TTM Prod '!F12*(1+'ProForma Prod'!$O$12)</f>
        <v>19411.475200000004</v>
      </c>
      <c r="G12" s="63">
        <f>'TTM Prod '!G12*(1+'ProForma Prod'!$O$12)</f>
        <v>16215.680000000002</v>
      </c>
      <c r="H12" s="63">
        <f>'TTM Prod '!H12*(1+'ProForma Prod'!$O$12)</f>
        <v>19529.837600000003</v>
      </c>
      <c r="I12" s="63">
        <f>'TTM Prod '!I12*(1+'ProForma Prod'!$O$12)</f>
        <v>25921.428000000004</v>
      </c>
      <c r="J12" s="63">
        <f>'TTM Prod '!J12*(1+'ProForma Prod'!$O$12)</f>
        <v>22370.545600000001</v>
      </c>
      <c r="K12" s="63">
        <f>'TTM Prod '!K12*(1+'ProForma Prod'!$O$12)</f>
        <v>23435.807200000003</v>
      </c>
      <c r="L12" s="63">
        <f>'TTM Prod '!L12*(1+'ProForma Prod'!$O$12)</f>
        <v>18819.663200000003</v>
      </c>
      <c r="M12" s="63">
        <f>'TTM Prod '!M12*(1+'ProForma Prod'!$O$12)</f>
        <v>19174.750400000004</v>
      </c>
      <c r="N12" s="63">
        <f>SUM(B12:M12)</f>
        <v>236725.30960000004</v>
      </c>
      <c r="O12" s="151">
        <v>0</v>
      </c>
      <c r="P12" s="163" t="s">
        <v>245</v>
      </c>
      <c r="Q12" s="132"/>
      <c r="R12" s="1"/>
      <c r="S12" s="1"/>
      <c r="T12" s="1"/>
      <c r="U12" s="1"/>
      <c r="V12" s="1"/>
      <c r="W12" s="1"/>
      <c r="X12" s="1"/>
      <c r="Y12" s="1"/>
    </row>
    <row r="13" spans="1:25" x14ac:dyDescent="0.25">
      <c r="A13" s="29" t="s">
        <v>190</v>
      </c>
      <c r="B13" s="61">
        <f>B12*$Q$13*$T$4</f>
        <v>13736.8925</v>
      </c>
      <c r="C13" s="61">
        <f t="shared" ref="C13:M13" si="5">C12*$Q$13*$T$4</f>
        <v>18331.984000000004</v>
      </c>
      <c r="D13" s="61">
        <f t="shared" si="5"/>
        <v>14559.174000000003</v>
      </c>
      <c r="E13" s="61">
        <f t="shared" si="5"/>
        <v>12092.338000000002</v>
      </c>
      <c r="F13" s="61">
        <f t="shared" si="5"/>
        <v>15865.148000000001</v>
      </c>
      <c r="G13" s="61">
        <f t="shared" si="5"/>
        <v>13253.2</v>
      </c>
      <c r="H13" s="61">
        <f t="shared" si="5"/>
        <v>15961.886500000001</v>
      </c>
      <c r="I13" s="61">
        <f t="shared" si="5"/>
        <v>21185.782500000001</v>
      </c>
      <c r="J13" s="61">
        <f t="shared" si="5"/>
        <v>18283.619000000002</v>
      </c>
      <c r="K13" s="61">
        <f t="shared" si="5"/>
        <v>19154.265500000001</v>
      </c>
      <c r="L13" s="61">
        <f t="shared" si="5"/>
        <v>15381.4555</v>
      </c>
      <c r="M13" s="61">
        <f t="shared" si="5"/>
        <v>15671.671000000002</v>
      </c>
      <c r="N13" s="62">
        <f>SUM(B13:M13)</f>
        <v>193477.41650000005</v>
      </c>
      <c r="O13" s="35"/>
      <c r="P13" s="133"/>
      <c r="Q13" s="130">
        <v>0.85</v>
      </c>
      <c r="R13" s="3"/>
      <c r="S13" s="3"/>
      <c r="T13" s="3"/>
      <c r="U13" s="3"/>
      <c r="V13" s="3"/>
      <c r="W13" s="2"/>
      <c r="X13" s="3"/>
      <c r="Y13" s="1"/>
    </row>
    <row r="14" spans="1:25" x14ac:dyDescent="0.25">
      <c r="A14" s="29" t="s">
        <v>191</v>
      </c>
      <c r="B14" s="61">
        <f>B12*$Q$14*$T$4</f>
        <v>2424.1575000000003</v>
      </c>
      <c r="C14" s="61">
        <f t="shared" ref="C14:M14" si="6">C12*$Q$14*$T$4</f>
        <v>3235.056</v>
      </c>
      <c r="D14" s="61">
        <f t="shared" si="6"/>
        <v>2569.2660000000005</v>
      </c>
      <c r="E14" s="61">
        <f t="shared" si="6"/>
        <v>2133.942</v>
      </c>
      <c r="F14" s="61">
        <f t="shared" si="6"/>
        <v>2799.7320000000004</v>
      </c>
      <c r="G14" s="61">
        <f t="shared" si="6"/>
        <v>2338.8000000000002</v>
      </c>
      <c r="H14" s="61">
        <f t="shared" si="6"/>
        <v>2816.8035</v>
      </c>
      <c r="I14" s="61">
        <f t="shared" si="6"/>
        <v>3738.6675</v>
      </c>
      <c r="J14" s="61">
        <f t="shared" si="6"/>
        <v>3226.5210000000002</v>
      </c>
      <c r="K14" s="61">
        <f t="shared" si="6"/>
        <v>3380.1644999999999</v>
      </c>
      <c r="L14" s="61">
        <f t="shared" si="6"/>
        <v>2714.3744999999999</v>
      </c>
      <c r="M14" s="61">
        <f t="shared" si="6"/>
        <v>2765.5889999999999</v>
      </c>
      <c r="N14" s="62">
        <f>SUM(B14:M14)</f>
        <v>34143.073499999999</v>
      </c>
      <c r="O14" s="33"/>
      <c r="P14" s="133"/>
      <c r="Q14" s="130">
        <v>0.15</v>
      </c>
      <c r="R14" s="3"/>
      <c r="S14" s="2"/>
      <c r="T14" s="3"/>
      <c r="U14" s="2"/>
      <c r="V14" s="2"/>
      <c r="W14" s="2"/>
      <c r="X14" s="3"/>
      <c r="Y14" s="1"/>
    </row>
    <row r="15" spans="1:25" x14ac:dyDescent="0.25">
      <c r="A15" s="29" t="s">
        <v>192</v>
      </c>
      <c r="B15" s="25">
        <f>SUM(B13:B14)</f>
        <v>16161.05</v>
      </c>
      <c r="C15" s="25">
        <f t="shared" ref="C15:N15" si="7">SUM(C13:C14)</f>
        <v>21567.040000000005</v>
      </c>
      <c r="D15" s="25">
        <f t="shared" si="7"/>
        <v>17128.440000000002</v>
      </c>
      <c r="E15" s="25">
        <f t="shared" si="7"/>
        <v>14226.280000000002</v>
      </c>
      <c r="F15" s="25">
        <f t="shared" si="7"/>
        <v>18664.88</v>
      </c>
      <c r="G15" s="25">
        <f t="shared" si="7"/>
        <v>15592</v>
      </c>
      <c r="H15" s="25">
        <f t="shared" si="7"/>
        <v>18778.690000000002</v>
      </c>
      <c r="I15" s="25">
        <f t="shared" si="7"/>
        <v>24924.45</v>
      </c>
      <c r="J15" s="25">
        <f t="shared" si="7"/>
        <v>21510.140000000003</v>
      </c>
      <c r="K15" s="25">
        <f t="shared" si="7"/>
        <v>22534.43</v>
      </c>
      <c r="L15" s="25">
        <f t="shared" si="7"/>
        <v>18095.830000000002</v>
      </c>
      <c r="M15" s="25">
        <f t="shared" si="7"/>
        <v>18437.260000000002</v>
      </c>
      <c r="N15" s="25">
        <f t="shared" si="7"/>
        <v>227620.49000000005</v>
      </c>
      <c r="O15" s="128"/>
      <c r="P15" s="134"/>
      <c r="Q15" s="1"/>
      <c r="R15" s="3"/>
      <c r="S15" s="3"/>
      <c r="T15" s="3"/>
      <c r="U15" s="3"/>
      <c r="V15" s="3"/>
      <c r="W15" s="2"/>
      <c r="X15" s="2"/>
      <c r="Y15" s="1"/>
    </row>
    <row r="16" spans="1:25" x14ac:dyDescent="0.25">
      <c r="A16" s="8" t="s">
        <v>193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4">
        <v>0</v>
      </c>
      <c r="O16" s="152">
        <v>-1</v>
      </c>
      <c r="P16" s="165" t="s">
        <v>250</v>
      </c>
      <c r="Q16" s="1"/>
      <c r="R16" s="2"/>
      <c r="S16" s="2"/>
      <c r="T16" s="2"/>
      <c r="U16" s="2"/>
      <c r="V16" s="2"/>
      <c r="W16" s="2"/>
      <c r="X16" s="2"/>
      <c r="Y16" s="1"/>
    </row>
    <row r="17" spans="1:25" hidden="1" x14ac:dyDescent="0.25">
      <c r="A17" s="8" t="s">
        <v>194</v>
      </c>
      <c r="B17" s="61">
        <f>'TTM Prod '!B17+('TTM Prod '!B17*'ProForma Prod'!$O$16)</f>
        <v>0</v>
      </c>
      <c r="C17" s="61">
        <f>'TTM Prod '!C17+('TTM Prod '!C17*'ProForma Prod'!$O$16)</f>
        <v>0</v>
      </c>
      <c r="D17" s="61">
        <f>'TTM Prod '!D17+('TTM Prod '!D17*'ProForma Prod'!$O$16)</f>
        <v>0</v>
      </c>
      <c r="E17" s="61">
        <f>'TTM Prod '!E17+('TTM Prod '!E17*'ProForma Prod'!$O$16)</f>
        <v>0</v>
      </c>
      <c r="F17" s="61">
        <f>'TTM Prod '!F17+('TTM Prod '!F17*'ProForma Prod'!$O$16)</f>
        <v>0</v>
      </c>
      <c r="G17" s="61">
        <f>'TTM Prod '!G17+('TTM Prod '!G17*'ProForma Prod'!$O$16)</f>
        <v>0</v>
      </c>
      <c r="H17" s="61">
        <f>'TTM Prod '!H17+('TTM Prod '!H17*'ProForma Prod'!$O$16)</f>
        <v>0</v>
      </c>
      <c r="I17" s="61">
        <f>'TTM Prod '!I17+('TTM Prod '!I17*'ProForma Prod'!$O$16)</f>
        <v>0</v>
      </c>
      <c r="J17" s="61">
        <f>'TTM Prod '!J17+('TTM Prod '!J17*'ProForma Prod'!$O$16)</f>
        <v>0</v>
      </c>
      <c r="K17" s="61">
        <f>'TTM Prod '!K17+('TTM Prod '!K17*'ProForma Prod'!$O$16)</f>
        <v>0</v>
      </c>
      <c r="L17" s="61">
        <f>'TTM Prod '!L17+('TTM Prod '!L17*'ProForma Prod'!$O$16)</f>
        <v>0</v>
      </c>
      <c r="M17" s="61">
        <f>'TTM Prod '!M17+('TTM Prod '!M17*'ProForma Prod'!$O$16)</f>
        <v>0</v>
      </c>
      <c r="N17" s="62">
        <f>SUM(B17:M17)</f>
        <v>0</v>
      </c>
      <c r="O17" s="143"/>
      <c r="P17" s="133"/>
      <c r="Q17" s="1"/>
      <c r="R17" s="2"/>
      <c r="S17" s="3"/>
      <c r="T17" s="3"/>
      <c r="U17" s="2"/>
      <c r="V17" s="2"/>
      <c r="W17" s="2"/>
      <c r="X17" s="3"/>
      <c r="Y17" s="1"/>
    </row>
    <row r="18" spans="1:25" hidden="1" x14ac:dyDescent="0.25">
      <c r="A18" s="8" t="s">
        <v>195</v>
      </c>
      <c r="B18" s="61">
        <f>'TTM Prod '!B18+('TTM Prod '!B18*'ProForma Prod'!$O$16)</f>
        <v>0</v>
      </c>
      <c r="C18" s="61">
        <f>'TTM Prod '!C18+('TTM Prod '!C18*'ProForma Prod'!$O$16)</f>
        <v>0</v>
      </c>
      <c r="D18" s="61">
        <f>'TTM Prod '!D18+('TTM Prod '!D18*'ProForma Prod'!$O$16)</f>
        <v>0</v>
      </c>
      <c r="E18" s="61">
        <f>'TTM Prod '!E18+('TTM Prod '!E18*'ProForma Prod'!$O$16)</f>
        <v>0</v>
      </c>
      <c r="F18" s="61">
        <f>'TTM Prod '!F18+('TTM Prod '!F18*'ProForma Prod'!$O$16)</f>
        <v>0</v>
      </c>
      <c r="G18" s="61">
        <f>'TTM Prod '!G18+('TTM Prod '!G18*'ProForma Prod'!$O$16)</f>
        <v>0</v>
      </c>
      <c r="H18" s="61">
        <f>'TTM Prod '!H18+('TTM Prod '!H18*'ProForma Prod'!$O$16)</f>
        <v>0</v>
      </c>
      <c r="I18" s="61">
        <f>'TTM Prod '!I18+('TTM Prod '!I18*'ProForma Prod'!$O$16)</f>
        <v>0</v>
      </c>
      <c r="J18" s="61">
        <f>'TTM Prod '!J18+('TTM Prod '!J18*'ProForma Prod'!$O$16)</f>
        <v>0</v>
      </c>
      <c r="K18" s="61">
        <f>'TTM Prod '!K18+('TTM Prod '!K18*'ProForma Prod'!$O$16)</f>
        <v>0</v>
      </c>
      <c r="L18" s="61">
        <f>'TTM Prod '!L18+('TTM Prod '!L18*'ProForma Prod'!$O$16)</f>
        <v>0</v>
      </c>
      <c r="M18" s="61">
        <f>'TTM Prod '!M18+('TTM Prod '!M18*'ProForma Prod'!$O$16)</f>
        <v>0</v>
      </c>
      <c r="N18" s="62">
        <f t="shared" ref="N18:N23" si="8">SUM(B18:M18)</f>
        <v>0</v>
      </c>
      <c r="O18" s="33"/>
      <c r="P18" s="133"/>
      <c r="Q18" s="1"/>
      <c r="R18" s="2"/>
      <c r="S18" s="3"/>
      <c r="T18" s="3"/>
      <c r="U18" s="2"/>
      <c r="V18" s="2"/>
      <c r="W18" s="2"/>
      <c r="X18" s="3"/>
      <c r="Y18" s="1"/>
    </row>
    <row r="19" spans="1:25" hidden="1" x14ac:dyDescent="0.25">
      <c r="A19" s="29" t="s">
        <v>196</v>
      </c>
      <c r="B19" s="25">
        <f>SUM(B17:B18)</f>
        <v>0</v>
      </c>
      <c r="C19" s="25">
        <f t="shared" ref="C19:N19" si="9">SUM(C17:C18)</f>
        <v>0</v>
      </c>
      <c r="D19" s="25">
        <f t="shared" si="9"/>
        <v>0</v>
      </c>
      <c r="E19" s="25">
        <f t="shared" si="9"/>
        <v>0</v>
      </c>
      <c r="F19" s="25">
        <f t="shared" si="9"/>
        <v>0</v>
      </c>
      <c r="G19" s="25">
        <f t="shared" si="9"/>
        <v>0</v>
      </c>
      <c r="H19" s="25">
        <f t="shared" si="9"/>
        <v>0</v>
      </c>
      <c r="I19" s="25">
        <f t="shared" si="9"/>
        <v>0</v>
      </c>
      <c r="J19" s="25">
        <f t="shared" si="9"/>
        <v>0</v>
      </c>
      <c r="K19" s="25">
        <f t="shared" si="9"/>
        <v>0</v>
      </c>
      <c r="L19" s="25">
        <f t="shared" si="9"/>
        <v>0</v>
      </c>
      <c r="M19" s="25">
        <f t="shared" si="9"/>
        <v>0</v>
      </c>
      <c r="N19" s="25">
        <f t="shared" si="9"/>
        <v>0</v>
      </c>
      <c r="O19" s="128"/>
      <c r="P19" s="133"/>
      <c r="Q19" s="1"/>
      <c r="R19" s="2"/>
      <c r="S19" s="3"/>
      <c r="T19" s="3"/>
      <c r="U19" s="2"/>
      <c r="V19" s="2"/>
      <c r="W19" s="2"/>
      <c r="X19" s="2"/>
      <c r="Y19" s="1"/>
    </row>
    <row r="20" spans="1:25" hidden="1" x14ac:dyDescent="0.25">
      <c r="A20" s="8" t="s">
        <v>38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62">
        <f t="shared" si="8"/>
        <v>0</v>
      </c>
      <c r="O20" s="26"/>
      <c r="P20" s="133"/>
      <c r="Q20" s="1"/>
      <c r="R20" s="3"/>
      <c r="S20" s="3"/>
      <c r="T20" s="3"/>
      <c r="U20" s="3"/>
      <c r="V20" s="3"/>
      <c r="W20" s="2"/>
      <c r="X20" s="3"/>
      <c r="Y20" s="1"/>
    </row>
    <row r="21" spans="1:25" hidden="1" x14ac:dyDescent="0.25">
      <c r="A21" s="8"/>
      <c r="B21" s="22"/>
      <c r="C21" s="22"/>
      <c r="D21" s="22"/>
      <c r="E21" s="22"/>
      <c r="F21" s="21"/>
      <c r="G21" s="21"/>
      <c r="H21" s="22"/>
      <c r="I21" s="21"/>
      <c r="J21" s="21"/>
      <c r="K21" s="21"/>
      <c r="L21" s="21"/>
      <c r="M21" s="21"/>
      <c r="N21" s="62">
        <f t="shared" si="8"/>
        <v>0</v>
      </c>
      <c r="O21" s="12"/>
      <c r="P21" s="133"/>
      <c r="Q21" s="1"/>
      <c r="R21" s="1"/>
      <c r="S21" s="1"/>
      <c r="T21" s="1"/>
      <c r="U21" s="1"/>
      <c r="V21" s="1"/>
      <c r="W21" s="1"/>
      <c r="X21" s="1"/>
      <c r="Y21" s="1"/>
    </row>
    <row r="22" spans="1:25" hidden="1" x14ac:dyDescent="0.25">
      <c r="A22" s="8" t="s">
        <v>40</v>
      </c>
      <c r="B22" s="22"/>
      <c r="C22" s="22"/>
      <c r="D22" s="22"/>
      <c r="E22" s="22"/>
      <c r="F22" s="21">
        <v>200.68</v>
      </c>
      <c r="G22" s="21">
        <v>401.36</v>
      </c>
      <c r="H22" s="21">
        <v>200.68</v>
      </c>
      <c r="I22" s="21">
        <v>332</v>
      </c>
      <c r="J22" s="21">
        <v>200.68</v>
      </c>
      <c r="K22" s="21">
        <v>420</v>
      </c>
      <c r="L22" s="21">
        <v>200.68</v>
      </c>
      <c r="M22" s="21">
        <f>200.68+932</f>
        <v>1132.68</v>
      </c>
      <c r="N22" s="62">
        <f t="shared" si="8"/>
        <v>3088.76</v>
      </c>
      <c r="O22" s="12"/>
      <c r="P22" s="133"/>
      <c r="Q22" s="1"/>
      <c r="R22" s="1"/>
      <c r="S22" s="1"/>
      <c r="T22" s="1"/>
      <c r="U22" s="1"/>
      <c r="V22" s="1"/>
      <c r="W22" s="1"/>
      <c r="X22" s="1"/>
      <c r="Y22" s="1"/>
    </row>
    <row r="23" spans="1:25" ht="18" x14ac:dyDescent="0.25">
      <c r="A23" s="147" t="s">
        <v>41</v>
      </c>
      <c r="B23" s="148">
        <f>B10+B15+B19+B22</f>
        <v>22149.22</v>
      </c>
      <c r="C23" s="148">
        <f t="shared" ref="C23:M23" si="10">C10+C15+C19+C22</f>
        <v>26662.230000000003</v>
      </c>
      <c r="D23" s="148">
        <f t="shared" si="10"/>
        <v>22906.49</v>
      </c>
      <c r="E23" s="148">
        <f t="shared" si="10"/>
        <v>23261.060000000005</v>
      </c>
      <c r="F23" s="148">
        <f t="shared" si="10"/>
        <v>29213.530000000002</v>
      </c>
      <c r="G23" s="148">
        <f t="shared" si="10"/>
        <v>25500.880000000001</v>
      </c>
      <c r="H23" s="148">
        <f t="shared" si="10"/>
        <v>24757.420000000006</v>
      </c>
      <c r="I23" s="148">
        <f t="shared" si="10"/>
        <v>30509.22</v>
      </c>
      <c r="J23" s="148">
        <f t="shared" si="10"/>
        <v>31638.58</v>
      </c>
      <c r="K23" s="148">
        <f t="shared" si="10"/>
        <v>33249.880000000005</v>
      </c>
      <c r="L23" s="148">
        <f t="shared" si="10"/>
        <v>34632.670000000006</v>
      </c>
      <c r="M23" s="148">
        <f t="shared" si="10"/>
        <v>31283.640000000003</v>
      </c>
      <c r="N23" s="149">
        <f t="shared" si="8"/>
        <v>335764.82</v>
      </c>
      <c r="O23" s="12"/>
      <c r="P23" s="133"/>
      <c r="Q23" s="28"/>
      <c r="R23" s="1"/>
      <c r="S23" s="1"/>
      <c r="T23" s="1"/>
      <c r="U23" s="1"/>
      <c r="V23" s="1"/>
      <c r="W23" s="1"/>
      <c r="X23" s="1"/>
      <c r="Y23" s="1"/>
    </row>
    <row r="24" spans="1:25" x14ac:dyDescent="0.25">
      <c r="A24" s="8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12"/>
      <c r="P24" s="133"/>
      <c r="Q24" s="1"/>
      <c r="R24" s="1"/>
      <c r="S24" s="1"/>
      <c r="T24" s="1"/>
      <c r="U24" s="1"/>
      <c r="V24" s="1"/>
      <c r="W24" s="1"/>
      <c r="X24" s="1"/>
      <c r="Y24" s="1"/>
    </row>
    <row r="25" spans="1:25" ht="20.25" x14ac:dyDescent="0.3">
      <c r="A25" s="83" t="s">
        <v>42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4">
        <v>0</v>
      </c>
      <c r="O25" s="12"/>
      <c r="P25" s="133"/>
      <c r="Q25" s="1"/>
      <c r="R25" s="1"/>
      <c r="S25" s="1"/>
      <c r="T25" s="1"/>
      <c r="U25" s="1"/>
      <c r="V25" s="1"/>
      <c r="W25" s="1"/>
      <c r="X25" s="1"/>
      <c r="Y25" s="1"/>
    </row>
    <row r="26" spans="1:25" x14ac:dyDescent="0.25">
      <c r="A26" s="29" t="s">
        <v>197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4"/>
      <c r="O26" s="12"/>
      <c r="P26" s="157" t="s">
        <v>252</v>
      </c>
      <c r="Q26" s="157"/>
      <c r="R26" s="1"/>
      <c r="S26" s="1"/>
      <c r="T26" s="1"/>
      <c r="U26" s="1"/>
      <c r="V26" s="1"/>
      <c r="W26" s="1"/>
      <c r="X26" s="1"/>
      <c r="Y26" s="1"/>
    </row>
    <row r="27" spans="1:25" x14ac:dyDescent="0.25">
      <c r="A27" s="8" t="s">
        <v>198</v>
      </c>
      <c r="B27" s="61">
        <f>B6*$Q$7*$S$6+B53</f>
        <v>1812.8160847769127</v>
      </c>
      <c r="C27" s="61">
        <f t="shared" ref="C27:M27" si="11">C6*$Q$7*$S$6+C53</f>
        <v>1617.0436689329924</v>
      </c>
      <c r="D27" s="61">
        <f t="shared" si="11"/>
        <v>1766.7504393905383</v>
      </c>
      <c r="E27" s="61">
        <f t="shared" si="11"/>
        <v>2480.739442337268</v>
      </c>
      <c r="F27" s="61">
        <f t="shared" si="11"/>
        <v>2768.6365719057658</v>
      </c>
      <c r="G27" s="61">
        <f t="shared" si="11"/>
        <v>2584.3805674084392</v>
      </c>
      <c r="H27" s="61">
        <f t="shared" si="11"/>
        <v>1766.7504393905388</v>
      </c>
      <c r="I27" s="61">
        <f t="shared" si="11"/>
        <v>1904.0007106233834</v>
      </c>
      <c r="J27" s="61">
        <f t="shared" si="11"/>
        <v>2676.511858181188</v>
      </c>
      <c r="K27" s="61">
        <f t="shared" si="11"/>
        <v>2757.1223529085628</v>
      </c>
      <c r="L27" s="61">
        <f t="shared" si="11"/>
        <v>4081.457041381459</v>
      </c>
      <c r="M27" s="61">
        <f t="shared" si="11"/>
        <v>3068.052305170248</v>
      </c>
      <c r="N27" s="61">
        <f>SUM(B27:M27)</f>
        <v>29284.261482407295</v>
      </c>
      <c r="O27" s="101"/>
      <c r="P27" s="133" t="s">
        <v>253</v>
      </c>
      <c r="Q27" s="154">
        <v>75000</v>
      </c>
      <c r="R27" s="1"/>
      <c r="S27" s="1"/>
      <c r="T27" s="1"/>
      <c r="U27" s="1"/>
      <c r="V27" s="1"/>
      <c r="W27" s="1"/>
      <c r="X27" s="1"/>
      <c r="Y27" s="1"/>
    </row>
    <row r="28" spans="1:25" x14ac:dyDescent="0.25">
      <c r="A28" s="8" t="s">
        <v>199</v>
      </c>
      <c r="B28" s="19">
        <f>(B7-B27)/B7</f>
        <v>0.39453419499549525</v>
      </c>
      <c r="C28" s="19">
        <f t="shared" ref="C28:N28" si="12">(C7-C27)/C7</f>
        <v>0.36526658714081611</v>
      </c>
      <c r="D28" s="19">
        <f t="shared" si="12"/>
        <v>0.38846135308952379</v>
      </c>
      <c r="E28" s="19">
        <f t="shared" si="12"/>
        <v>0.45084674063181002</v>
      </c>
      <c r="F28" s="19">
        <f t="shared" si="12"/>
        <v>0.46489281049215153</v>
      </c>
      <c r="G28" s="19">
        <f t="shared" si="12"/>
        <v>0.45635022226438882</v>
      </c>
      <c r="H28" s="19">
        <f t="shared" si="12"/>
        <v>0.38846135308952384</v>
      </c>
      <c r="I28" s="19">
        <f t="shared" si="12"/>
        <v>0.27504889396513338</v>
      </c>
      <c r="J28" s="19">
        <f t="shared" si="12"/>
        <v>0.46080246537362146</v>
      </c>
      <c r="K28" s="19">
        <f t="shared" si="12"/>
        <v>0.46439983625610098</v>
      </c>
      <c r="L28" s="19">
        <f t="shared" si="12"/>
        <v>0.50031622592072322</v>
      </c>
      <c r="M28" s="19">
        <f t="shared" si="12"/>
        <v>0.47615999980019158</v>
      </c>
      <c r="N28" s="19">
        <f t="shared" si="12"/>
        <v>0.44249959364539559</v>
      </c>
      <c r="O28" s="12"/>
      <c r="P28" t="s">
        <v>255</v>
      </c>
      <c r="Q28" s="155">
        <f>((Q27*0.08*5)+Q27)/60</f>
        <v>1750</v>
      </c>
      <c r="R28" s="1" t="s">
        <v>256</v>
      </c>
      <c r="S28" s="1"/>
      <c r="T28" s="1"/>
      <c r="U28" s="1"/>
      <c r="V28" s="1"/>
      <c r="W28" s="1"/>
      <c r="X28" s="1"/>
      <c r="Y28" s="1"/>
    </row>
    <row r="29" spans="1:25" x14ac:dyDescent="0.25">
      <c r="A29" s="8" t="s">
        <v>200</v>
      </c>
      <c r="B29" s="61">
        <f>B6*$Q$8*$S$6+B49</f>
        <v>512.56321695538259</v>
      </c>
      <c r="C29" s="61">
        <f t="shared" ref="C29:M29" si="13">C6*$Q$8*$S$6+C49</f>
        <v>2154.6087337865983</v>
      </c>
      <c r="D29" s="61">
        <f t="shared" si="13"/>
        <v>503.35008787810767</v>
      </c>
      <c r="E29" s="61">
        <f t="shared" si="13"/>
        <v>646.14788846745364</v>
      </c>
      <c r="F29" s="61">
        <f t="shared" si="13"/>
        <v>703.72731438115329</v>
      </c>
      <c r="G29" s="61">
        <f t="shared" si="13"/>
        <v>666.87611348168798</v>
      </c>
      <c r="H29" s="61">
        <f t="shared" si="13"/>
        <v>503.35008787810773</v>
      </c>
      <c r="I29" s="61">
        <f t="shared" si="13"/>
        <v>629.74814212467663</v>
      </c>
      <c r="J29" s="61">
        <f t="shared" si="13"/>
        <v>685.30237163623758</v>
      </c>
      <c r="K29" s="61">
        <f t="shared" si="13"/>
        <v>701.42447058171251</v>
      </c>
      <c r="L29" s="61">
        <f t="shared" si="13"/>
        <v>966.2914082762918</v>
      </c>
      <c r="M29" s="61">
        <f t="shared" si="13"/>
        <v>763.61046103404965</v>
      </c>
      <c r="N29" s="61">
        <f>SUM(B29:M29)</f>
        <v>9437.0002964814612</v>
      </c>
      <c r="O29" s="12"/>
      <c r="P29" s="133" t="s">
        <v>254</v>
      </c>
      <c r="Q29" s="153">
        <v>0.2</v>
      </c>
      <c r="R29" s="1"/>
      <c r="S29" s="1"/>
      <c r="T29" s="1"/>
      <c r="U29" s="1"/>
      <c r="V29" s="1"/>
      <c r="W29" s="1"/>
      <c r="X29" s="1"/>
      <c r="Y29" s="1"/>
    </row>
    <row r="30" spans="1:25" x14ac:dyDescent="0.25">
      <c r="A30" s="8" t="s">
        <v>201</v>
      </c>
      <c r="B30" s="19">
        <f>(B8-B29)/B8</f>
        <v>0.14404030454148334</v>
      </c>
      <c r="C30" s="19">
        <f t="shared" ref="C30:N30" si="14">(C8-C29)/C8</f>
        <v>-3.2287112625566436</v>
      </c>
      <c r="D30" s="19">
        <f t="shared" si="14"/>
        <v>0.12885819977655485</v>
      </c>
      <c r="E30" s="19">
        <f t="shared" si="14"/>
        <v>0.28482166863227043</v>
      </c>
      <c r="F30" s="19">
        <f t="shared" si="14"/>
        <v>0.31993684328312388</v>
      </c>
      <c r="G30" s="19">
        <f t="shared" si="14"/>
        <v>0.29858037271371723</v>
      </c>
      <c r="H30" s="19">
        <f t="shared" si="14"/>
        <v>0.12885819977655494</v>
      </c>
      <c r="I30" s="19">
        <f t="shared" si="14"/>
        <v>-0.19888771471942723</v>
      </c>
      <c r="J30" s="19">
        <f t="shared" si="14"/>
        <v>0.30971098048679913</v>
      </c>
      <c r="K30" s="19">
        <f t="shared" si="14"/>
        <v>0.3187044076929979</v>
      </c>
      <c r="L30" s="19">
        <f t="shared" si="14"/>
        <v>0.40849538185455347</v>
      </c>
      <c r="M30" s="19">
        <f t="shared" si="14"/>
        <v>0.34810481655322439</v>
      </c>
      <c r="N30" s="19">
        <f t="shared" si="14"/>
        <v>0.10171347445152513</v>
      </c>
      <c r="O30" s="12"/>
      <c r="P30" s="133"/>
      <c r="Q30" s="1"/>
      <c r="R30" s="1"/>
      <c r="S30" s="1"/>
      <c r="T30" s="1"/>
      <c r="U30" s="1"/>
      <c r="V30" s="1"/>
      <c r="W30" s="1"/>
      <c r="X30" s="1"/>
      <c r="Y30" s="1"/>
    </row>
    <row r="31" spans="1:25" x14ac:dyDescent="0.25">
      <c r="A31" s="8" t="s">
        <v>202</v>
      </c>
      <c r="B31" s="61">
        <f>B6*$Q$9*$S$6+(B82*0.25)</f>
        <v>1454.9903678215303</v>
      </c>
      <c r="C31" s="61">
        <f t="shared" ref="C31:M31" si="15">C6*$Q$9*$S$6+(C82*0.25)</f>
        <v>1298.3724351463941</v>
      </c>
      <c r="D31" s="61">
        <f t="shared" si="15"/>
        <v>1418.1378515124306</v>
      </c>
      <c r="E31" s="61">
        <f t="shared" si="15"/>
        <v>1989.3290538698143</v>
      </c>
      <c r="F31" s="61">
        <f t="shared" si="15"/>
        <v>2219.6467575246129</v>
      </c>
      <c r="G31" s="61">
        <f t="shared" si="15"/>
        <v>2072.2419539267516</v>
      </c>
      <c r="H31" s="61">
        <f t="shared" si="15"/>
        <v>1418.1378515124311</v>
      </c>
      <c r="I31" s="61">
        <f t="shared" si="15"/>
        <v>1476.0175684987066</v>
      </c>
      <c r="J31" s="61">
        <f t="shared" si="15"/>
        <v>2145.9469865449505</v>
      </c>
      <c r="K31" s="61">
        <f t="shared" si="15"/>
        <v>2210.4353823268502</v>
      </c>
      <c r="L31" s="61">
        <f t="shared" si="15"/>
        <v>3269.9031331051674</v>
      </c>
      <c r="M31" s="61">
        <f t="shared" si="15"/>
        <v>2609.1868441361985</v>
      </c>
      <c r="N31" s="61">
        <f>SUM(B31:M31)</f>
        <v>23582.346185925835</v>
      </c>
      <c r="O31" s="12"/>
      <c r="P31" s="133"/>
      <c r="Q31" s="1"/>
      <c r="R31" s="1"/>
      <c r="S31" s="1"/>
      <c r="T31" s="1"/>
      <c r="U31" s="1"/>
      <c r="V31" s="1"/>
      <c r="W31" s="1"/>
      <c r="X31" s="1"/>
      <c r="Y31" s="1"/>
    </row>
    <row r="32" spans="1:25" x14ac:dyDescent="0.25">
      <c r="A32" s="8" t="s">
        <v>203</v>
      </c>
      <c r="B32" s="19">
        <f>(B9-B31)/B9</f>
        <v>0.39255633698545206</v>
      </c>
      <c r="C32" s="19">
        <f t="shared" ref="C32:N32" si="16">(C9-C31)/C9</f>
        <v>0.36294209090024404</v>
      </c>
      <c r="D32" s="19">
        <f t="shared" si="16"/>
        <v>0.38641156985815683</v>
      </c>
      <c r="E32" s="19">
        <f t="shared" si="16"/>
        <v>0.44953583433414701</v>
      </c>
      <c r="F32" s="19">
        <f t="shared" si="16"/>
        <v>0.46374826233439681</v>
      </c>
      <c r="G32" s="19">
        <f t="shared" si="16"/>
        <v>0.45510449782731155</v>
      </c>
      <c r="H32" s="19">
        <f t="shared" si="16"/>
        <v>0.38641156985815678</v>
      </c>
      <c r="I32" s="19">
        <f t="shared" si="16"/>
        <v>0.29750514085962904</v>
      </c>
      <c r="J32" s="19">
        <f t="shared" si="16"/>
        <v>0.45960947219086923</v>
      </c>
      <c r="K32" s="19">
        <f t="shared" si="16"/>
        <v>0.46324944943473817</v>
      </c>
      <c r="L32" s="19">
        <f t="shared" si="16"/>
        <v>0.4995912238394507</v>
      </c>
      <c r="M32" s="19">
        <f t="shared" si="16"/>
        <v>0.44313350091427173</v>
      </c>
      <c r="N32" s="19">
        <f t="shared" si="16"/>
        <v>0.43881256876894226</v>
      </c>
      <c r="O32" s="12"/>
      <c r="P32" s="133"/>
      <c r="Q32" s="1"/>
      <c r="R32" s="1"/>
      <c r="S32" s="1"/>
      <c r="T32" s="1"/>
      <c r="U32" s="1"/>
      <c r="V32" s="1"/>
      <c r="W32" s="1"/>
      <c r="X32" s="1"/>
      <c r="Y32" s="1"/>
    </row>
    <row r="33" spans="1:25" x14ac:dyDescent="0.25">
      <c r="A33" s="8" t="s">
        <v>204</v>
      </c>
      <c r="B33" s="30">
        <f>B27+B29+B31</f>
        <v>3780.3696695538256</v>
      </c>
      <c r="C33" s="30">
        <f t="shared" ref="C33:N33" si="17">C27+C29+C31</f>
        <v>5070.0248378659853</v>
      </c>
      <c r="D33" s="30">
        <f t="shared" si="17"/>
        <v>3688.2383787810768</v>
      </c>
      <c r="E33" s="30">
        <f t="shared" si="17"/>
        <v>5116.2163846745352</v>
      </c>
      <c r="F33" s="30">
        <f t="shared" si="17"/>
        <v>5692.0106438115326</v>
      </c>
      <c r="G33" s="30">
        <f t="shared" si="17"/>
        <v>5323.4986348168786</v>
      </c>
      <c r="H33" s="30">
        <f t="shared" si="17"/>
        <v>3688.2383787810777</v>
      </c>
      <c r="I33" s="30">
        <f t="shared" si="17"/>
        <v>4009.7664212467666</v>
      </c>
      <c r="J33" s="30">
        <f t="shared" si="17"/>
        <v>5507.7612163623762</v>
      </c>
      <c r="K33" s="30">
        <f t="shared" si="17"/>
        <v>5668.9822058171258</v>
      </c>
      <c r="L33" s="30">
        <f t="shared" si="17"/>
        <v>8317.6515827629191</v>
      </c>
      <c r="M33" s="30">
        <f t="shared" si="17"/>
        <v>6440.8496103404959</v>
      </c>
      <c r="N33" s="30">
        <f t="shared" si="17"/>
        <v>62303.607964814597</v>
      </c>
      <c r="O33" s="12"/>
      <c r="P33" s="133"/>
      <c r="Q33" s="1"/>
      <c r="R33" s="1"/>
      <c r="S33" s="1"/>
      <c r="T33" s="1"/>
      <c r="U33" s="1"/>
      <c r="V33" s="1"/>
      <c r="W33" s="1"/>
      <c r="X33" s="1"/>
      <c r="Y33" s="1"/>
    </row>
    <row r="34" spans="1:25" ht="21.75" thickBot="1" x14ac:dyDescent="0.4">
      <c r="A34" s="8" t="s">
        <v>205</v>
      </c>
      <c r="B34" s="64">
        <f>(B10-B33)/B10</f>
        <v>0.36869366274607673</v>
      </c>
      <c r="C34" s="64">
        <f t="shared" ref="C34:N34" si="18">(C10-C33)/C10</f>
        <v>4.9390036748412289E-3</v>
      </c>
      <c r="D34" s="64">
        <f t="shared" si="18"/>
        <v>0.36168112446568007</v>
      </c>
      <c r="E34" s="64">
        <f t="shared" si="18"/>
        <v>0.43371987091279091</v>
      </c>
      <c r="F34" s="64">
        <f t="shared" si="18"/>
        <v>0.44993939450814679</v>
      </c>
      <c r="G34" s="64">
        <f t="shared" si="18"/>
        <v>0.44007494753449078</v>
      </c>
      <c r="H34" s="64">
        <f t="shared" si="18"/>
        <v>0.36168112446568013</v>
      </c>
      <c r="I34" s="64">
        <f t="shared" si="18"/>
        <v>0.23663773185447559</v>
      </c>
      <c r="J34" s="64">
        <f t="shared" si="18"/>
        <v>0.44521611961183832</v>
      </c>
      <c r="K34" s="64">
        <f t="shared" si="18"/>
        <v>0.44937013867124553</v>
      </c>
      <c r="L34" s="64">
        <f t="shared" si="18"/>
        <v>0.49084414068159721</v>
      </c>
      <c r="M34" s="64">
        <f t="shared" si="18"/>
        <v>0.45014388192112692</v>
      </c>
      <c r="N34" s="64">
        <f t="shared" si="18"/>
        <v>0.40694617177542713</v>
      </c>
      <c r="O34" s="12"/>
      <c r="P34" s="174" t="s">
        <v>259</v>
      </c>
      <c r="Q34" s="38"/>
      <c r="R34" s="38"/>
      <c r="S34" s="38"/>
      <c r="T34" s="180" t="s">
        <v>85</v>
      </c>
      <c r="U34" s="181">
        <v>0.3</v>
      </c>
      <c r="V34" s="1"/>
      <c r="W34" s="1"/>
      <c r="X34" s="1"/>
      <c r="Y34" s="1"/>
    </row>
    <row r="35" spans="1:25" ht="18.75" x14ac:dyDescent="0.3"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4"/>
      <c r="O35" s="12"/>
      <c r="P35" s="120" t="s">
        <v>260</v>
      </c>
      <c r="Q35" s="115"/>
      <c r="R35" s="175">
        <f>N23/12</f>
        <v>27980.401666666668</v>
      </c>
      <c r="S35" s="115"/>
      <c r="T35" s="120" t="s">
        <v>264</v>
      </c>
      <c r="U35" s="176">
        <f>U36/N46</f>
        <v>29975.353863888275</v>
      </c>
      <c r="V35" s="1"/>
      <c r="W35" s="1"/>
      <c r="X35" s="1"/>
      <c r="Y35" s="1"/>
    </row>
    <row r="36" spans="1:25" ht="18.75" x14ac:dyDescent="0.3">
      <c r="A36" s="8" t="s">
        <v>206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4"/>
      <c r="O36" s="12"/>
      <c r="P36" s="120" t="s">
        <v>261</v>
      </c>
      <c r="Q36" s="115"/>
      <c r="R36" s="176">
        <f>N45/12</f>
        <v>9376.1720833333293</v>
      </c>
      <c r="S36" s="115"/>
      <c r="T36" s="120" t="s">
        <v>265</v>
      </c>
      <c r="U36" s="176">
        <f>U37</f>
        <v>10044.676249999999</v>
      </c>
      <c r="V36" s="1"/>
      <c r="W36" s="1"/>
      <c r="X36" s="1"/>
      <c r="Y36" s="1"/>
    </row>
    <row r="37" spans="1:25" ht="30" customHeight="1" x14ac:dyDescent="0.3">
      <c r="A37" s="8" t="s">
        <v>207</v>
      </c>
      <c r="B37" s="61">
        <f>(B12*$S$6)+(B136*(1+$O$12))</f>
        <v>11567.973709146236</v>
      </c>
      <c r="C37" s="61">
        <f t="shared" ref="C37:M37" si="19">(C12*$S$6)+(C136*(1+$O$12))</f>
        <v>14871.446617893345</v>
      </c>
      <c r="D37" s="61">
        <f t="shared" si="19"/>
        <v>12243.396497052405</v>
      </c>
      <c r="E37" s="61">
        <f t="shared" si="19"/>
        <v>10783.133833442314</v>
      </c>
      <c r="F37" s="61">
        <f t="shared" si="19"/>
        <v>13028.183954283257</v>
      </c>
      <c r="G37" s="61">
        <f t="shared" si="19"/>
        <v>11561.609039821553</v>
      </c>
      <c r="H37" s="61">
        <f t="shared" si="19"/>
        <v>13491.056888148192</v>
      </c>
      <c r="I37" s="61">
        <f t="shared" si="19"/>
        <v>17118.206717071596</v>
      </c>
      <c r="J37" s="61">
        <f t="shared" si="19"/>
        <v>15146.013001015082</v>
      </c>
      <c r="K37" s="61">
        <f t="shared" si="19"/>
        <v>15707.869405799513</v>
      </c>
      <c r="L37" s="61">
        <f t="shared" si="19"/>
        <v>12681.819284958572</v>
      </c>
      <c r="M37" s="61">
        <f t="shared" si="19"/>
        <v>12746.438086553382</v>
      </c>
      <c r="N37" s="102">
        <f>SUM(B37:M37)</f>
        <v>160947.14703518545</v>
      </c>
      <c r="O37" s="12"/>
      <c r="P37" s="177" t="s">
        <v>263</v>
      </c>
      <c r="Q37" s="115"/>
      <c r="R37" s="178">
        <f>(N110+N111)/12</f>
        <v>10044.676249999999</v>
      </c>
      <c r="S37" s="115"/>
      <c r="T37" s="120" t="s">
        <v>266</v>
      </c>
      <c r="U37" s="176">
        <f>R37</f>
        <v>10044.676249999999</v>
      </c>
      <c r="V37" s="1"/>
      <c r="W37" s="1"/>
      <c r="X37" s="1"/>
      <c r="Y37" s="1"/>
    </row>
    <row r="38" spans="1:25" ht="19.5" thickBot="1" x14ac:dyDescent="0.35">
      <c r="A38" s="8" t="s">
        <v>208</v>
      </c>
      <c r="B38" s="64">
        <f>(B15-B37)/B15</f>
        <v>0.28420655160733765</v>
      </c>
      <c r="C38" s="64">
        <f t="shared" ref="C38:N38" si="20">(C15-C37)/C15</f>
        <v>0.31045490628786604</v>
      </c>
      <c r="D38" s="64">
        <f t="shared" si="20"/>
        <v>0.28520072481484576</v>
      </c>
      <c r="E38" s="64">
        <f t="shared" si="20"/>
        <v>0.2420271614615829</v>
      </c>
      <c r="F38" s="64">
        <f t="shared" si="20"/>
        <v>0.30199476480517123</v>
      </c>
      <c r="G38" s="64">
        <f t="shared" si="20"/>
        <v>0.25849095434700148</v>
      </c>
      <c r="H38" s="64">
        <f t="shared" si="20"/>
        <v>0.28157625009262144</v>
      </c>
      <c r="I38" s="64">
        <f t="shared" si="20"/>
        <v>0.31319621026455563</v>
      </c>
      <c r="J38" s="64">
        <f t="shared" si="20"/>
        <v>0.29586636809360234</v>
      </c>
      <c r="K38" s="64">
        <f t="shared" si="20"/>
        <v>0.30293912888857127</v>
      </c>
      <c r="L38" s="64">
        <f t="shared" si="20"/>
        <v>0.29918554247257123</v>
      </c>
      <c r="M38" s="64">
        <f t="shared" si="20"/>
        <v>0.3086587656434101</v>
      </c>
      <c r="N38" s="64">
        <f t="shared" si="20"/>
        <v>0.29291450415915798</v>
      </c>
      <c r="O38" s="12"/>
      <c r="P38" s="120" t="s">
        <v>262</v>
      </c>
      <c r="Q38" s="115"/>
      <c r="R38" s="176">
        <f>N119/12</f>
        <v>1064.6524999999961</v>
      </c>
      <c r="S38" s="175"/>
      <c r="T38" s="120" t="s">
        <v>267</v>
      </c>
      <c r="U38" s="179">
        <v>0</v>
      </c>
      <c r="V38" s="1"/>
      <c r="W38" s="1"/>
      <c r="X38" s="1"/>
      <c r="Y38" s="1"/>
    </row>
    <row r="39" spans="1:25" ht="19.5" customHeight="1" x14ac:dyDescent="0.25">
      <c r="A39" s="29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4"/>
      <c r="O39" s="12"/>
      <c r="P39" s="133"/>
      <c r="Q39" s="1"/>
      <c r="R39" s="1"/>
      <c r="S39" s="1"/>
      <c r="T39" s="1"/>
      <c r="U39" s="1"/>
      <c r="V39" s="1"/>
      <c r="W39" s="1"/>
      <c r="X39" s="1"/>
      <c r="Y39" s="1"/>
    </row>
    <row r="40" spans="1:25" hidden="1" x14ac:dyDescent="0.25">
      <c r="A40" s="8" t="s">
        <v>209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4"/>
      <c r="O40" s="12"/>
      <c r="P40" s="133"/>
      <c r="Q40" s="1"/>
      <c r="R40" s="1"/>
      <c r="S40" s="1"/>
      <c r="T40" s="1"/>
      <c r="U40" s="1"/>
      <c r="V40" s="1"/>
      <c r="W40" s="1"/>
      <c r="X40" s="1"/>
      <c r="Y40" s="1"/>
    </row>
    <row r="41" spans="1:25" ht="31.5" hidden="1" x14ac:dyDescent="0.25">
      <c r="A41" s="8" t="s">
        <v>210</v>
      </c>
      <c r="B41" s="61">
        <f>'TTM Prod '!B41+('TTM Prod '!B41*'ProForma Prod'!$O$16)</f>
        <v>0</v>
      </c>
      <c r="C41" s="61">
        <f>'TTM Prod '!C41+('TTM Prod '!C41*'ProForma Prod'!$O$16)</f>
        <v>0</v>
      </c>
      <c r="D41" s="61">
        <f>'TTM Prod '!D41+('TTM Prod '!D41*'ProForma Prod'!$O$16)</f>
        <v>0</v>
      </c>
      <c r="E41" s="61">
        <f>'TTM Prod '!E41+('TTM Prod '!E41*'ProForma Prod'!$O$16)</f>
        <v>0</v>
      </c>
      <c r="F41" s="61">
        <f>'TTM Prod '!F41+('TTM Prod '!F41*'ProForma Prod'!$O$16)</f>
        <v>0</v>
      </c>
      <c r="G41" s="61">
        <f>'TTM Prod '!G41+('TTM Prod '!G41*'ProForma Prod'!$O$16)</f>
        <v>0</v>
      </c>
      <c r="H41" s="61">
        <f>'TTM Prod '!H41+('TTM Prod '!H41*'ProForma Prod'!$O$16)</f>
        <v>0</v>
      </c>
      <c r="I41" s="61">
        <f>'TTM Prod '!I41+('TTM Prod '!I41*'ProForma Prod'!$O$16)</f>
        <v>0</v>
      </c>
      <c r="J41" s="61">
        <f>'TTM Prod '!J41+('TTM Prod '!J41*'ProForma Prod'!$O$16)</f>
        <v>0</v>
      </c>
      <c r="K41" s="61">
        <f>'TTM Prod '!K41+('TTM Prod '!K41*'ProForma Prod'!$O$16)</f>
        <v>0</v>
      </c>
      <c r="L41" s="61">
        <f>'TTM Prod '!L41+('TTM Prod '!L41*'ProForma Prod'!$O$16)</f>
        <v>0</v>
      </c>
      <c r="M41" s="61">
        <f>'TTM Prod '!M41+('TTM Prod '!M41*'ProForma Prod'!$O$16)</f>
        <v>0</v>
      </c>
      <c r="N41" s="102">
        <f>SUM(B41:M41)</f>
        <v>0</v>
      </c>
      <c r="O41" s="12"/>
      <c r="P41" s="133"/>
      <c r="Q41" s="1"/>
      <c r="R41" s="1"/>
      <c r="S41" s="1"/>
      <c r="T41" s="1"/>
      <c r="U41" s="1"/>
      <c r="V41" s="1"/>
      <c r="W41" s="1"/>
      <c r="X41" s="1"/>
      <c r="Y41" s="1"/>
    </row>
    <row r="42" spans="1:25" ht="16.5" hidden="1" thickBot="1" x14ac:dyDescent="0.3">
      <c r="A42" s="29" t="s">
        <v>211</v>
      </c>
      <c r="B42" s="64" t="e">
        <f>(B19-B41)/B19</f>
        <v>#DIV/0!</v>
      </c>
      <c r="C42" s="64" t="e">
        <f t="shared" ref="C42:N42" si="21">(C19-C41)/C19</f>
        <v>#DIV/0!</v>
      </c>
      <c r="D42" s="64" t="e">
        <f t="shared" si="21"/>
        <v>#DIV/0!</v>
      </c>
      <c r="E42" s="64" t="e">
        <f t="shared" si="21"/>
        <v>#DIV/0!</v>
      </c>
      <c r="F42" s="64" t="e">
        <f t="shared" si="21"/>
        <v>#DIV/0!</v>
      </c>
      <c r="G42" s="64" t="e">
        <f t="shared" si="21"/>
        <v>#DIV/0!</v>
      </c>
      <c r="H42" s="64" t="e">
        <f t="shared" si="21"/>
        <v>#DIV/0!</v>
      </c>
      <c r="I42" s="64" t="e">
        <f t="shared" si="21"/>
        <v>#DIV/0!</v>
      </c>
      <c r="J42" s="64" t="e">
        <f t="shared" si="21"/>
        <v>#DIV/0!</v>
      </c>
      <c r="K42" s="64" t="e">
        <f t="shared" si="21"/>
        <v>#DIV/0!</v>
      </c>
      <c r="L42" s="64" t="e">
        <f t="shared" si="21"/>
        <v>#DIV/0!</v>
      </c>
      <c r="M42" s="64" t="e">
        <f t="shared" si="21"/>
        <v>#DIV/0!</v>
      </c>
      <c r="N42" s="64" t="e">
        <f t="shared" si="21"/>
        <v>#DIV/0!</v>
      </c>
      <c r="O42" s="12"/>
      <c r="P42" s="133"/>
      <c r="Q42" s="1"/>
      <c r="R42" s="1"/>
      <c r="S42" s="1"/>
      <c r="T42" s="1"/>
      <c r="U42" s="1"/>
      <c r="V42" s="1"/>
      <c r="W42" s="1"/>
      <c r="X42" s="1"/>
      <c r="Y42" s="1"/>
    </row>
    <row r="43" spans="1:25" hidden="1" x14ac:dyDescent="0.25">
      <c r="A43" s="29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4"/>
      <c r="O43" s="12"/>
      <c r="P43" s="133"/>
      <c r="Q43" s="1"/>
      <c r="R43" s="1"/>
      <c r="S43" s="1"/>
      <c r="T43" s="1"/>
      <c r="U43" s="1"/>
      <c r="V43" s="1"/>
      <c r="W43" s="1"/>
      <c r="X43" s="1"/>
      <c r="Y43" s="1"/>
    </row>
    <row r="44" spans="1:25" ht="16.5" thickBot="1" x14ac:dyDescent="0.3">
      <c r="A44" s="8" t="s">
        <v>83</v>
      </c>
      <c r="B44" s="84">
        <f>B33+B37+B41</f>
        <v>15348.343378700061</v>
      </c>
      <c r="C44" s="84">
        <f t="shared" ref="C44:N44" si="22">C33+C37+C41</f>
        <v>19941.471455759332</v>
      </c>
      <c r="D44" s="84">
        <f t="shared" si="22"/>
        <v>15931.634875833483</v>
      </c>
      <c r="E44" s="84">
        <f t="shared" si="22"/>
        <v>15899.35021811685</v>
      </c>
      <c r="F44" s="84">
        <f t="shared" si="22"/>
        <v>18720.194598094789</v>
      </c>
      <c r="G44" s="84">
        <f t="shared" si="22"/>
        <v>16885.107674638431</v>
      </c>
      <c r="H44" s="84">
        <f t="shared" si="22"/>
        <v>17179.295266929272</v>
      </c>
      <c r="I44" s="84">
        <f t="shared" si="22"/>
        <v>21127.973138318364</v>
      </c>
      <c r="J44" s="84">
        <f t="shared" si="22"/>
        <v>20653.77421737746</v>
      </c>
      <c r="K44" s="84">
        <f t="shared" si="22"/>
        <v>21376.851611616639</v>
      </c>
      <c r="L44" s="84">
        <f t="shared" si="22"/>
        <v>20999.470867721491</v>
      </c>
      <c r="M44" s="84">
        <f t="shared" si="22"/>
        <v>19187.28769689388</v>
      </c>
      <c r="N44" s="84">
        <f t="shared" si="22"/>
        <v>223250.75500000006</v>
      </c>
      <c r="O44" s="12"/>
      <c r="P44" s="133"/>
      <c r="Q44" s="1"/>
      <c r="R44" s="1"/>
      <c r="S44" s="1"/>
      <c r="T44" s="1"/>
      <c r="U44" s="1"/>
      <c r="V44" s="1"/>
      <c r="W44" s="1"/>
      <c r="X44" s="1"/>
      <c r="Y44" s="1"/>
    </row>
    <row r="45" spans="1:25" ht="16.5" thickBot="1" x14ac:dyDescent="0.3">
      <c r="A45" s="8" t="s">
        <v>84</v>
      </c>
      <c r="B45" s="89">
        <f>B23-B44</f>
        <v>6800.8766212999399</v>
      </c>
      <c r="C45" s="89">
        <f t="shared" ref="C45:N45" si="23">C23-C44</f>
        <v>6720.7585442406707</v>
      </c>
      <c r="D45" s="89">
        <f t="shared" si="23"/>
        <v>6974.8551241665191</v>
      </c>
      <c r="E45" s="89">
        <f t="shared" si="23"/>
        <v>7361.7097818831553</v>
      </c>
      <c r="F45" s="89">
        <f t="shared" si="23"/>
        <v>10493.335401905213</v>
      </c>
      <c r="G45" s="89">
        <f t="shared" si="23"/>
        <v>8615.7723253615695</v>
      </c>
      <c r="H45" s="89">
        <f t="shared" si="23"/>
        <v>7578.1247330707338</v>
      </c>
      <c r="I45" s="89">
        <f t="shared" si="23"/>
        <v>9381.2468616816368</v>
      </c>
      <c r="J45" s="89">
        <f t="shared" si="23"/>
        <v>10984.805782622541</v>
      </c>
      <c r="K45" s="89">
        <f t="shared" si="23"/>
        <v>11873.028388383365</v>
      </c>
      <c r="L45" s="89">
        <f t="shared" si="23"/>
        <v>13633.199132278514</v>
      </c>
      <c r="M45" s="89">
        <f t="shared" si="23"/>
        <v>12096.352303106123</v>
      </c>
      <c r="N45" s="89">
        <f t="shared" si="23"/>
        <v>112514.06499999994</v>
      </c>
      <c r="O45" s="12"/>
      <c r="P45" s="133"/>
      <c r="Q45" s="1"/>
      <c r="R45" s="1"/>
      <c r="S45" s="1"/>
      <c r="T45" s="1"/>
      <c r="U45" s="1"/>
      <c r="V45" s="1"/>
      <c r="W45" s="1"/>
      <c r="X45" s="1"/>
      <c r="Y45" s="1"/>
    </row>
    <row r="46" spans="1:25" ht="21.75" thickBot="1" x14ac:dyDescent="0.4">
      <c r="A46" s="83" t="s">
        <v>85</v>
      </c>
      <c r="B46" s="126">
        <f>B45/B23</f>
        <v>0.30704813177619528</v>
      </c>
      <c r="C46" s="126">
        <f t="shared" ref="C46:N46" si="24">C45/C23</f>
        <v>0.25207038361909972</v>
      </c>
      <c r="D46" s="126">
        <f t="shared" si="24"/>
        <v>0.30449253133790988</v>
      </c>
      <c r="E46" s="126">
        <f t="shared" si="24"/>
        <v>0.31648212858240998</v>
      </c>
      <c r="F46" s="126">
        <f t="shared" si="24"/>
        <v>0.3591943665111752</v>
      </c>
      <c r="G46" s="126">
        <f t="shared" si="24"/>
        <v>0.33786176498072101</v>
      </c>
      <c r="H46" s="126">
        <f t="shared" si="24"/>
        <v>0.30609509121187634</v>
      </c>
      <c r="I46" s="126">
        <f t="shared" si="24"/>
        <v>0.30748891193159433</v>
      </c>
      <c r="J46" s="126">
        <f t="shared" si="24"/>
        <v>0.34719654872698269</v>
      </c>
      <c r="K46" s="126">
        <f t="shared" si="24"/>
        <v>0.35708484928015871</v>
      </c>
      <c r="L46" s="126">
        <f t="shared" si="24"/>
        <v>0.39365140291749129</v>
      </c>
      <c r="M46" s="126">
        <f t="shared" si="24"/>
        <v>0.38666703437023703</v>
      </c>
      <c r="N46" s="126">
        <f t="shared" si="24"/>
        <v>0.33509783723023734</v>
      </c>
      <c r="O46" s="12"/>
      <c r="P46" s="135"/>
      <c r="Q46" s="1"/>
      <c r="R46" s="1"/>
      <c r="S46" s="1"/>
      <c r="T46" s="1"/>
      <c r="U46" s="1"/>
      <c r="V46" s="1"/>
      <c r="W46" s="1"/>
      <c r="X46" s="1"/>
      <c r="Y46" s="1"/>
    </row>
    <row r="47" spans="1:25" x14ac:dyDescent="0.25">
      <c r="A47" s="29"/>
      <c r="O47" s="12"/>
      <c r="P47" s="135"/>
      <c r="Q47" s="1"/>
      <c r="R47" s="1"/>
      <c r="S47" s="1"/>
      <c r="T47" s="1"/>
      <c r="U47" s="1"/>
      <c r="V47" s="1"/>
      <c r="W47" s="1"/>
      <c r="X47" s="1"/>
      <c r="Y47" s="1"/>
    </row>
    <row r="48" spans="1:25" x14ac:dyDescent="0.25">
      <c r="A48" s="8" t="s">
        <v>86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12"/>
      <c r="P48" s="135"/>
      <c r="Q48" s="1"/>
      <c r="R48" s="1"/>
      <c r="S48" s="1"/>
      <c r="T48" s="1"/>
      <c r="U48" s="1"/>
      <c r="V48" s="1"/>
      <c r="W48" s="1"/>
      <c r="X48" s="1"/>
      <c r="Y48" s="1"/>
    </row>
    <row r="49" spans="1:25" hidden="1" x14ac:dyDescent="0.25">
      <c r="A49" s="8" t="s">
        <v>87</v>
      </c>
      <c r="B49" s="6">
        <v>250</v>
      </c>
      <c r="C49" s="18">
        <v>1931.2</v>
      </c>
      <c r="D49" s="6">
        <v>250</v>
      </c>
      <c r="E49" s="6">
        <v>250</v>
      </c>
      <c r="F49" s="6">
        <v>250</v>
      </c>
      <c r="G49" s="6">
        <v>250</v>
      </c>
      <c r="H49" s="6">
        <v>250</v>
      </c>
      <c r="I49" s="6">
        <v>399.43</v>
      </c>
      <c r="J49" s="6">
        <v>250</v>
      </c>
      <c r="K49" s="6">
        <v>250</v>
      </c>
      <c r="L49" s="6">
        <v>250</v>
      </c>
      <c r="M49" s="6">
        <v>250</v>
      </c>
      <c r="N49" s="17">
        <f>SUM(B49:M49)</f>
        <v>4830.6299999999992</v>
      </c>
      <c r="O49" s="12"/>
      <c r="P49" s="135"/>
      <c r="Q49" s="1"/>
      <c r="R49" s="1"/>
      <c r="S49" s="1"/>
      <c r="T49" s="1"/>
      <c r="U49" s="1"/>
      <c r="V49" s="1"/>
      <c r="W49" s="1"/>
      <c r="X49" s="1"/>
      <c r="Y49" s="1"/>
    </row>
    <row r="50" spans="1:25" hidden="1" x14ac:dyDescent="0.25">
      <c r="A50" s="8" t="s">
        <v>212</v>
      </c>
      <c r="B50" s="6">
        <f>B49*-1</f>
        <v>-250</v>
      </c>
      <c r="C50" s="6">
        <f t="shared" ref="C50:M50" si="25">C49*-1</f>
        <v>-1931.2</v>
      </c>
      <c r="D50" s="6">
        <f t="shared" si="25"/>
        <v>-250</v>
      </c>
      <c r="E50" s="6">
        <f t="shared" si="25"/>
        <v>-250</v>
      </c>
      <c r="F50" s="6">
        <f t="shared" si="25"/>
        <v>-250</v>
      </c>
      <c r="G50" s="6">
        <f t="shared" si="25"/>
        <v>-250</v>
      </c>
      <c r="H50" s="6">
        <f t="shared" si="25"/>
        <v>-250</v>
      </c>
      <c r="I50" s="6">
        <f t="shared" si="25"/>
        <v>-399.43</v>
      </c>
      <c r="J50" s="6">
        <f t="shared" si="25"/>
        <v>-250</v>
      </c>
      <c r="K50" s="6">
        <f t="shared" si="25"/>
        <v>-250</v>
      </c>
      <c r="L50" s="6">
        <f t="shared" si="25"/>
        <v>-250</v>
      </c>
      <c r="M50" s="6">
        <f t="shared" si="25"/>
        <v>-250</v>
      </c>
      <c r="N50" s="17">
        <f t="shared" ref="N50:N54" si="26">SUM(B50:M50)</f>
        <v>-4830.6299999999992</v>
      </c>
      <c r="O50" s="12"/>
      <c r="P50" s="135"/>
      <c r="Q50" s="1"/>
      <c r="R50" s="1"/>
      <c r="S50" s="1"/>
      <c r="T50" s="1"/>
      <c r="U50" s="1"/>
      <c r="V50" s="1"/>
      <c r="W50" s="1"/>
      <c r="X50" s="1"/>
      <c r="Y50" s="1"/>
    </row>
    <row r="51" spans="1:25" hidden="1" x14ac:dyDescent="0.25">
      <c r="A51" s="8" t="s">
        <v>88</v>
      </c>
      <c r="B51" s="6"/>
      <c r="C51" s="6"/>
      <c r="D51" s="6">
        <v>200</v>
      </c>
      <c r="E51" s="6">
        <v>100</v>
      </c>
      <c r="F51" s="11">
        <v>250</v>
      </c>
      <c r="G51" s="11">
        <v>112.24</v>
      </c>
      <c r="H51" s="11"/>
      <c r="I51" s="11">
        <v>450</v>
      </c>
      <c r="J51" s="11">
        <v>50</v>
      </c>
      <c r="K51" s="11">
        <v>25</v>
      </c>
      <c r="L51" s="11"/>
      <c r="M51" s="11">
        <v>200</v>
      </c>
      <c r="N51" s="17">
        <f t="shared" si="26"/>
        <v>1387.24</v>
      </c>
      <c r="O51" s="12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idden="1" x14ac:dyDescent="0.25">
      <c r="A52" s="8" t="s">
        <v>89</v>
      </c>
      <c r="B52" s="6"/>
      <c r="C52" s="6"/>
      <c r="D52" s="6">
        <v>51.55</v>
      </c>
      <c r="E52" s="6">
        <v>58.65</v>
      </c>
      <c r="F52" s="6">
        <v>40.549999999999997</v>
      </c>
      <c r="G52" s="11">
        <v>76.55</v>
      </c>
      <c r="H52" s="11">
        <v>42.97</v>
      </c>
      <c r="I52" s="11">
        <v>86.55</v>
      </c>
      <c r="J52" s="11">
        <v>55.65</v>
      </c>
      <c r="K52" s="11">
        <v>44.55</v>
      </c>
      <c r="L52" s="11">
        <v>3.9</v>
      </c>
      <c r="M52" s="11"/>
      <c r="N52" s="17">
        <f t="shared" si="26"/>
        <v>460.91999999999996</v>
      </c>
      <c r="O52" s="12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idden="1" x14ac:dyDescent="0.25">
      <c r="A53" s="8" t="s">
        <v>90</v>
      </c>
      <c r="B53" s="6">
        <v>500</v>
      </c>
      <c r="C53" s="6">
        <v>500</v>
      </c>
      <c r="D53" s="6">
        <v>500</v>
      </c>
      <c r="E53" s="6">
        <v>500</v>
      </c>
      <c r="F53" s="6">
        <v>500</v>
      </c>
      <c r="G53" s="6">
        <v>500</v>
      </c>
      <c r="H53" s="6">
        <v>500</v>
      </c>
      <c r="I53" s="6">
        <v>752.41</v>
      </c>
      <c r="J53" s="6">
        <v>500</v>
      </c>
      <c r="K53" s="6">
        <v>500</v>
      </c>
      <c r="L53" s="6">
        <v>500</v>
      </c>
      <c r="M53" s="6">
        <v>500</v>
      </c>
      <c r="N53" s="17">
        <f t="shared" si="26"/>
        <v>6252.41</v>
      </c>
      <c r="O53" s="12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idden="1" x14ac:dyDescent="0.25">
      <c r="A54" s="8" t="s">
        <v>212</v>
      </c>
      <c r="B54" s="6">
        <f>B53*-1</f>
        <v>-500</v>
      </c>
      <c r="C54" s="6">
        <f t="shared" ref="C54:M54" si="27">C53*-1</f>
        <v>-500</v>
      </c>
      <c r="D54" s="6">
        <f t="shared" si="27"/>
        <v>-500</v>
      </c>
      <c r="E54" s="6">
        <f t="shared" si="27"/>
        <v>-500</v>
      </c>
      <c r="F54" s="6">
        <f t="shared" si="27"/>
        <v>-500</v>
      </c>
      <c r="G54" s="6">
        <f t="shared" si="27"/>
        <v>-500</v>
      </c>
      <c r="H54" s="6">
        <f t="shared" si="27"/>
        <v>-500</v>
      </c>
      <c r="I54" s="6">
        <f t="shared" si="27"/>
        <v>-752.41</v>
      </c>
      <c r="J54" s="6">
        <f t="shared" si="27"/>
        <v>-500</v>
      </c>
      <c r="K54" s="6">
        <f t="shared" si="27"/>
        <v>-500</v>
      </c>
      <c r="L54" s="6">
        <f t="shared" si="27"/>
        <v>-500</v>
      </c>
      <c r="M54" s="6">
        <f t="shared" si="27"/>
        <v>-500</v>
      </c>
      <c r="N54" s="17">
        <f t="shared" si="26"/>
        <v>-6252.41</v>
      </c>
      <c r="O54" s="12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x14ac:dyDescent="0.25">
      <c r="A55" s="8" t="s">
        <v>91</v>
      </c>
      <c r="B55" s="10">
        <f>SUM(B49:B54)</f>
        <v>0</v>
      </c>
      <c r="C55" s="10">
        <f t="shared" ref="C55:N55" si="28">SUM(C49:C54)</f>
        <v>0</v>
      </c>
      <c r="D55" s="10">
        <f t="shared" si="28"/>
        <v>251.54999999999995</v>
      </c>
      <c r="E55" s="10">
        <f t="shared" si="28"/>
        <v>158.64999999999998</v>
      </c>
      <c r="F55" s="10">
        <f t="shared" si="28"/>
        <v>290.54999999999995</v>
      </c>
      <c r="G55" s="10">
        <f t="shared" si="28"/>
        <v>188.78999999999996</v>
      </c>
      <c r="H55" s="10">
        <f t="shared" si="28"/>
        <v>42.970000000000027</v>
      </c>
      <c r="I55" s="10">
        <f t="shared" si="28"/>
        <v>536.55000000000007</v>
      </c>
      <c r="J55" s="10">
        <f t="shared" si="28"/>
        <v>105.64999999999998</v>
      </c>
      <c r="K55" s="10">
        <f t="shared" si="28"/>
        <v>69.549999999999955</v>
      </c>
      <c r="L55" s="10">
        <f t="shared" si="28"/>
        <v>3.8999999999999773</v>
      </c>
      <c r="M55" s="10">
        <f t="shared" si="28"/>
        <v>200</v>
      </c>
      <c r="N55" s="10">
        <f t="shared" si="28"/>
        <v>1848.1599999999999</v>
      </c>
      <c r="O55" s="1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x14ac:dyDescent="0.25">
      <c r="A56" s="29" t="s">
        <v>92</v>
      </c>
      <c r="B56" s="11">
        <v>750</v>
      </c>
      <c r="C56" s="11">
        <v>750</v>
      </c>
      <c r="D56" s="11">
        <v>750</v>
      </c>
      <c r="E56" s="11">
        <v>750</v>
      </c>
      <c r="F56" s="11">
        <v>750</v>
      </c>
      <c r="G56" s="11">
        <v>750</v>
      </c>
      <c r="H56" s="11">
        <v>750</v>
      </c>
      <c r="I56" s="11">
        <v>750</v>
      </c>
      <c r="J56" s="11">
        <v>750</v>
      </c>
      <c r="K56" s="11">
        <v>750</v>
      </c>
      <c r="L56" s="11">
        <v>750</v>
      </c>
      <c r="M56" s="11">
        <v>826.42</v>
      </c>
      <c r="N56" s="91">
        <f>SUM(B56:M56)</f>
        <v>9076.42</v>
      </c>
      <c r="O56" s="1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idden="1" x14ac:dyDescent="0.25">
      <c r="A57" s="8" t="s">
        <v>93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91">
        <f t="shared" ref="N57:N63" si="29">SUM(B57:M57)</f>
        <v>0</v>
      </c>
      <c r="O57" s="1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idden="1" x14ac:dyDescent="0.25">
      <c r="A58" s="8" t="s">
        <v>94</v>
      </c>
      <c r="B58" s="6"/>
      <c r="C58" s="6"/>
      <c r="D58" s="6"/>
      <c r="E58" s="6"/>
      <c r="F58" s="6"/>
      <c r="G58" s="6">
        <v>97.96</v>
      </c>
      <c r="H58" s="6"/>
      <c r="I58" s="6"/>
      <c r="J58" s="6"/>
      <c r="K58" s="6"/>
      <c r="L58" s="6"/>
      <c r="M58" s="6"/>
      <c r="N58" s="91">
        <f t="shared" si="29"/>
        <v>97.96</v>
      </c>
      <c r="O58" s="1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idden="1" x14ac:dyDescent="0.25">
      <c r="A59" s="8" t="s">
        <v>95</v>
      </c>
      <c r="B59" s="11">
        <v>103.56</v>
      </c>
      <c r="C59" s="11">
        <v>106.46</v>
      </c>
      <c r="D59" s="11">
        <v>118.44</v>
      </c>
      <c r="E59" s="11">
        <v>165.13</v>
      </c>
      <c r="F59" s="11">
        <v>167.55</v>
      </c>
      <c r="G59" s="11">
        <v>163.69999999999999</v>
      </c>
      <c r="H59" s="11">
        <v>126.24</v>
      </c>
      <c r="I59" s="11">
        <v>93.22</v>
      </c>
      <c r="J59" s="11">
        <v>109.01</v>
      </c>
      <c r="K59" s="11">
        <v>135.97</v>
      </c>
      <c r="L59" s="11">
        <v>132.30000000000001</v>
      </c>
      <c r="M59" s="11">
        <v>145.02000000000001</v>
      </c>
      <c r="N59" s="17">
        <f t="shared" si="29"/>
        <v>1566.6</v>
      </c>
      <c r="O59" s="1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idden="1" x14ac:dyDescent="0.25">
      <c r="A60" s="8" t="s">
        <v>96</v>
      </c>
      <c r="B60" s="11">
        <v>5.37</v>
      </c>
      <c r="C60" s="11">
        <v>4.29</v>
      </c>
      <c r="D60" s="11">
        <v>8.0500000000000007</v>
      </c>
      <c r="E60" s="11"/>
      <c r="F60" s="11">
        <v>1.28</v>
      </c>
      <c r="G60" s="11">
        <v>6.45</v>
      </c>
      <c r="H60" s="11">
        <v>4.21</v>
      </c>
      <c r="I60" s="11">
        <v>6.89</v>
      </c>
      <c r="J60" s="11">
        <v>8.43</v>
      </c>
      <c r="K60" s="11">
        <v>4.3899999999999997</v>
      </c>
      <c r="L60" s="11"/>
      <c r="M60" s="11">
        <v>8.4499999999999993</v>
      </c>
      <c r="N60" s="17">
        <f t="shared" si="29"/>
        <v>57.81</v>
      </c>
      <c r="O60" s="1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idden="1" x14ac:dyDescent="0.25">
      <c r="A61" s="8" t="s">
        <v>97</v>
      </c>
      <c r="B61" s="11">
        <v>37.72</v>
      </c>
      <c r="C61" s="11">
        <v>45.04</v>
      </c>
      <c r="D61" s="11">
        <v>57.61</v>
      </c>
      <c r="E61" s="11">
        <v>66.67</v>
      </c>
      <c r="F61" s="11">
        <v>60.27</v>
      </c>
      <c r="G61" s="11">
        <v>53.63</v>
      </c>
      <c r="H61" s="11">
        <v>68.11</v>
      </c>
      <c r="I61" s="11">
        <v>95.96</v>
      </c>
      <c r="J61" s="11">
        <v>76.75</v>
      </c>
      <c r="K61" s="11">
        <v>110.66</v>
      </c>
      <c r="L61" s="11">
        <v>75.95</v>
      </c>
      <c r="M61" s="11">
        <v>74.930000000000007</v>
      </c>
      <c r="N61" s="17">
        <f t="shared" si="29"/>
        <v>823.3</v>
      </c>
      <c r="O61" s="1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idden="1" x14ac:dyDescent="0.25">
      <c r="A62" s="8" t="s">
        <v>98</v>
      </c>
      <c r="B62" s="11">
        <v>341.6</v>
      </c>
      <c r="C62" s="11">
        <v>434.18</v>
      </c>
      <c r="D62" s="11">
        <v>342.85</v>
      </c>
      <c r="E62" s="11">
        <v>287.10000000000002</v>
      </c>
      <c r="F62" s="11">
        <v>378.43</v>
      </c>
      <c r="G62" s="11">
        <v>313.27999999999997</v>
      </c>
      <c r="H62" s="11">
        <v>383.68</v>
      </c>
      <c r="I62" s="11">
        <v>497.99</v>
      </c>
      <c r="J62" s="11">
        <v>434.05</v>
      </c>
      <c r="K62" s="11">
        <v>455.43</v>
      </c>
      <c r="L62" s="11">
        <v>380.1</v>
      </c>
      <c r="M62" s="11">
        <v>361.43</v>
      </c>
      <c r="N62" s="17">
        <f t="shared" si="29"/>
        <v>4610.12</v>
      </c>
      <c r="O62" s="1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x14ac:dyDescent="0.25">
      <c r="A63" s="8" t="s">
        <v>99</v>
      </c>
      <c r="B63" s="10">
        <v>488.25</v>
      </c>
      <c r="C63" s="10">
        <v>589.97</v>
      </c>
      <c r="D63" s="10">
        <v>526.95000000000005</v>
      </c>
      <c r="E63" s="10">
        <v>518.9</v>
      </c>
      <c r="F63" s="10">
        <v>607.53</v>
      </c>
      <c r="G63" s="10">
        <v>537.05999999999995</v>
      </c>
      <c r="H63" s="10">
        <v>582.24</v>
      </c>
      <c r="I63" s="10">
        <v>694.06</v>
      </c>
      <c r="J63" s="10">
        <v>628.24</v>
      </c>
      <c r="K63" s="10">
        <v>706.45</v>
      </c>
      <c r="L63" s="10">
        <v>588.35</v>
      </c>
      <c r="M63" s="10">
        <v>589.83000000000004</v>
      </c>
      <c r="N63" s="92">
        <f t="shared" si="29"/>
        <v>7057.8300000000008</v>
      </c>
      <c r="O63" s="1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idden="1" x14ac:dyDescent="0.25">
      <c r="A64" s="8" t="s">
        <v>100</v>
      </c>
      <c r="B64" s="6"/>
      <c r="C64" s="6"/>
      <c r="D64" s="6"/>
      <c r="E64" s="6"/>
      <c r="F64" s="11"/>
      <c r="G64" s="6">
        <v>74</v>
      </c>
      <c r="H64" s="11"/>
      <c r="I64" s="6"/>
      <c r="J64" s="11"/>
      <c r="K64" s="11"/>
      <c r="L64" s="11"/>
      <c r="M64" s="11">
        <v>100</v>
      </c>
      <c r="N64" s="103">
        <f>SUM(B64:M64)</f>
        <v>174</v>
      </c>
      <c r="O64" s="1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idden="1" x14ac:dyDescent="0.25">
      <c r="A65" s="8" t="s">
        <v>101</v>
      </c>
      <c r="B65" s="11">
        <v>17.32</v>
      </c>
      <c r="C65" s="11">
        <v>29.63</v>
      </c>
      <c r="D65" s="11">
        <v>9.66</v>
      </c>
      <c r="E65" s="11">
        <v>151.71</v>
      </c>
      <c r="F65" s="11">
        <v>76.55</v>
      </c>
      <c r="G65" s="11">
        <v>42.97</v>
      </c>
      <c r="H65" s="11">
        <v>86.55</v>
      </c>
      <c r="I65" s="11">
        <v>29.15</v>
      </c>
      <c r="J65" s="11">
        <v>2</v>
      </c>
      <c r="K65" s="11">
        <v>44.21</v>
      </c>
      <c r="L65" s="11">
        <v>56.25</v>
      </c>
      <c r="M65" s="11">
        <v>128.94</v>
      </c>
      <c r="N65" s="103">
        <f t="shared" ref="N65:N74" si="30">SUM(B65:M65)</f>
        <v>674.94</v>
      </c>
      <c r="O65" s="1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idden="1" x14ac:dyDescent="0.25">
      <c r="A66" s="8" t="s">
        <v>102</v>
      </c>
      <c r="B66" s="11">
        <v>110</v>
      </c>
      <c r="C66" s="6"/>
      <c r="D66" s="11">
        <v>168.98</v>
      </c>
      <c r="E66" s="11">
        <v>261.29000000000002</v>
      </c>
      <c r="F66" s="6"/>
      <c r="G66" s="6"/>
      <c r="H66" s="6"/>
      <c r="I66" s="6"/>
      <c r="J66" s="11">
        <v>187.75</v>
      </c>
      <c r="K66" s="6"/>
      <c r="L66" s="11">
        <v>36</v>
      </c>
      <c r="M66" s="6"/>
      <c r="N66" s="97">
        <f t="shared" si="30"/>
        <v>764.02</v>
      </c>
      <c r="O66" s="1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idden="1" x14ac:dyDescent="0.25">
      <c r="A67" s="8" t="s">
        <v>103</v>
      </c>
      <c r="B67" s="6"/>
      <c r="C67" s="6"/>
      <c r="D67" s="6"/>
      <c r="E67" s="6"/>
      <c r="F67" s="6"/>
      <c r="G67" s="6"/>
      <c r="H67" s="6">
        <v>26.13</v>
      </c>
      <c r="I67" s="6"/>
      <c r="J67" s="6"/>
      <c r="K67" s="6"/>
      <c r="L67" s="11"/>
      <c r="M67" s="6"/>
      <c r="N67" s="104">
        <f t="shared" si="30"/>
        <v>26.13</v>
      </c>
      <c r="O67" s="6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idden="1" x14ac:dyDescent="0.25">
      <c r="A68" s="8" t="s">
        <v>104</v>
      </c>
      <c r="B68" s="6">
        <v>175</v>
      </c>
      <c r="C68" s="6">
        <v>175</v>
      </c>
      <c r="D68" s="6">
        <v>393.84</v>
      </c>
      <c r="E68" s="6">
        <v>175</v>
      </c>
      <c r="F68" s="6">
        <v>175</v>
      </c>
      <c r="G68" s="6">
        <v>175</v>
      </c>
      <c r="H68" s="6">
        <v>175</v>
      </c>
      <c r="I68" s="6">
        <v>175</v>
      </c>
      <c r="J68" s="6">
        <v>175</v>
      </c>
      <c r="K68" s="6">
        <v>175</v>
      </c>
      <c r="L68" s="6">
        <v>175</v>
      </c>
      <c r="M68" s="6">
        <v>175</v>
      </c>
      <c r="N68" s="103">
        <f t="shared" si="30"/>
        <v>2318.84</v>
      </c>
      <c r="O68" s="1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idden="1" x14ac:dyDescent="0.25">
      <c r="A69" s="8" t="s">
        <v>105</v>
      </c>
      <c r="B69" s="11">
        <v>91.66</v>
      </c>
      <c r="C69" s="11">
        <v>91.66</v>
      </c>
      <c r="D69" s="11">
        <v>91.66</v>
      </c>
      <c r="E69" s="11">
        <v>91.66</v>
      </c>
      <c r="F69" s="11">
        <v>91.66</v>
      </c>
      <c r="G69" s="11">
        <v>91.66</v>
      </c>
      <c r="H69" s="11">
        <v>91.66</v>
      </c>
      <c r="I69" s="11">
        <v>123.25</v>
      </c>
      <c r="J69" s="11">
        <v>91.66</v>
      </c>
      <c r="K69" s="11">
        <v>91.66</v>
      </c>
      <c r="L69" s="11">
        <v>91.66</v>
      </c>
      <c r="M69" s="11">
        <v>91.66</v>
      </c>
      <c r="N69" s="103">
        <f t="shared" si="30"/>
        <v>1131.51</v>
      </c>
      <c r="O69" s="1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idden="1" x14ac:dyDescent="0.25">
      <c r="A70" s="8" t="s">
        <v>106</v>
      </c>
      <c r="B70" s="6">
        <v>1.07</v>
      </c>
      <c r="C70" s="6">
        <v>2.0499999999999998</v>
      </c>
      <c r="D70" s="11">
        <v>20.07</v>
      </c>
      <c r="E70" s="6">
        <v>7.06</v>
      </c>
      <c r="F70" s="6">
        <v>22.14</v>
      </c>
      <c r="G70" s="6">
        <v>30.04</v>
      </c>
      <c r="H70" s="6">
        <v>5.56</v>
      </c>
      <c r="I70" s="6">
        <v>4.87</v>
      </c>
      <c r="J70" s="6">
        <v>51.55</v>
      </c>
      <c r="K70" s="6">
        <v>58.65</v>
      </c>
      <c r="L70" s="6">
        <v>40.549999999999997</v>
      </c>
      <c r="M70" s="18">
        <v>1958.45</v>
      </c>
      <c r="N70" s="97">
        <f t="shared" si="30"/>
        <v>2202.06</v>
      </c>
      <c r="O70" s="12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idden="1" x14ac:dyDescent="0.25">
      <c r="A71" s="8" t="s">
        <v>107</v>
      </c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>
        <f>SUM(B71:M71)</f>
        <v>0</v>
      </c>
      <c r="O71" s="1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idden="1" x14ac:dyDescent="0.25">
      <c r="A72" s="8" t="s">
        <v>108</v>
      </c>
      <c r="B72" s="11"/>
      <c r="C72" s="11"/>
      <c r="D72" s="11"/>
      <c r="E72" s="11"/>
      <c r="F72" s="17">
        <v>1700</v>
      </c>
      <c r="G72" s="11"/>
      <c r="H72" s="11"/>
      <c r="I72" s="11">
        <v>131.05000000000001</v>
      </c>
      <c r="J72" s="11"/>
      <c r="K72" s="11"/>
      <c r="L72" s="11"/>
      <c r="M72" s="11"/>
      <c r="N72" s="11">
        <f t="shared" si="30"/>
        <v>1831.05</v>
      </c>
      <c r="O72" s="1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idden="1" x14ac:dyDescent="0.25">
      <c r="A73" s="8" t="s">
        <v>109</v>
      </c>
      <c r="B73" s="11">
        <v>257.54000000000002</v>
      </c>
      <c r="C73" s="11">
        <v>659.94</v>
      </c>
      <c r="D73" s="11">
        <v>808.54</v>
      </c>
      <c r="E73" s="11">
        <v>363.98</v>
      </c>
      <c r="F73" s="11">
        <v>409.63</v>
      </c>
      <c r="G73" s="11">
        <v>245.29</v>
      </c>
      <c r="H73" s="11">
        <v>381.06</v>
      </c>
      <c r="I73" s="11">
        <v>289.06</v>
      </c>
      <c r="J73" s="11">
        <v>276.48</v>
      </c>
      <c r="K73" s="11">
        <v>276.06</v>
      </c>
      <c r="L73" s="11">
        <v>275.38</v>
      </c>
      <c r="M73" s="11">
        <v>200.19</v>
      </c>
      <c r="N73" s="11">
        <f t="shared" si="30"/>
        <v>4443.1499999999996</v>
      </c>
      <c r="O73" s="6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idden="1" x14ac:dyDescent="0.25">
      <c r="A74" s="8" t="s">
        <v>110</v>
      </c>
      <c r="B74" s="11"/>
      <c r="C74" s="11"/>
      <c r="D74" s="11"/>
      <c r="E74" s="11"/>
      <c r="F74" s="11">
        <v>150.22</v>
      </c>
      <c r="G74" s="11"/>
      <c r="H74" s="11"/>
      <c r="I74" s="11"/>
      <c r="J74" s="11"/>
      <c r="K74" s="11"/>
      <c r="L74" s="11"/>
      <c r="M74" s="11"/>
      <c r="N74" s="11">
        <f t="shared" si="30"/>
        <v>150.22</v>
      </c>
      <c r="O74" s="1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x14ac:dyDescent="0.25">
      <c r="A75" s="8" t="s">
        <v>111</v>
      </c>
      <c r="B75" s="10">
        <f>SUM(B71:B74)</f>
        <v>257.54000000000002</v>
      </c>
      <c r="C75" s="10">
        <f t="shared" ref="C75:N75" si="31">SUM(C71:C74)</f>
        <v>659.94</v>
      </c>
      <c r="D75" s="10">
        <f t="shared" si="31"/>
        <v>808.54</v>
      </c>
      <c r="E75" s="10">
        <f t="shared" si="31"/>
        <v>363.98</v>
      </c>
      <c r="F75" s="10">
        <f t="shared" si="31"/>
        <v>2259.85</v>
      </c>
      <c r="G75" s="10">
        <f t="shared" si="31"/>
        <v>245.29</v>
      </c>
      <c r="H75" s="10">
        <f t="shared" si="31"/>
        <v>381.06</v>
      </c>
      <c r="I75" s="10">
        <f t="shared" si="31"/>
        <v>420.11</v>
      </c>
      <c r="J75" s="10">
        <f t="shared" si="31"/>
        <v>276.48</v>
      </c>
      <c r="K75" s="10">
        <f t="shared" si="31"/>
        <v>276.06</v>
      </c>
      <c r="L75" s="10">
        <f t="shared" si="31"/>
        <v>275.38</v>
      </c>
      <c r="M75" s="10">
        <f t="shared" si="31"/>
        <v>200.19</v>
      </c>
      <c r="N75" s="10">
        <f t="shared" si="31"/>
        <v>6424.42</v>
      </c>
      <c r="O75" s="1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idden="1" x14ac:dyDescent="0.25">
      <c r="A76" s="8" t="s">
        <v>112</v>
      </c>
      <c r="B76" s="6">
        <v>100</v>
      </c>
      <c r="C76" s="6">
        <v>100</v>
      </c>
      <c r="D76" s="6">
        <v>310.24</v>
      </c>
      <c r="E76" s="6">
        <v>100</v>
      </c>
      <c r="F76" s="6">
        <v>100</v>
      </c>
      <c r="G76" s="6">
        <v>100</v>
      </c>
      <c r="H76" s="6">
        <v>100</v>
      </c>
      <c r="I76" s="6">
        <v>100</v>
      </c>
      <c r="J76" s="6">
        <v>100</v>
      </c>
      <c r="K76" s="6">
        <v>100</v>
      </c>
      <c r="L76" s="6">
        <v>100</v>
      </c>
      <c r="M76" s="6">
        <v>202.09</v>
      </c>
      <c r="N76" s="91">
        <f>SUM(B76:M76)</f>
        <v>1512.33</v>
      </c>
      <c r="O76" s="1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idden="1" x14ac:dyDescent="0.25">
      <c r="A77" s="8" t="s">
        <v>113</v>
      </c>
      <c r="B77" s="11"/>
      <c r="C77" s="11"/>
      <c r="D77" s="11"/>
      <c r="E77" s="11"/>
      <c r="F77" s="11">
        <v>179.66</v>
      </c>
      <c r="G77" s="11"/>
      <c r="H77" s="11"/>
      <c r="I77" s="11"/>
      <c r="J77" s="11"/>
      <c r="K77" s="11"/>
      <c r="L77" s="11"/>
      <c r="M77" s="11"/>
      <c r="N77" s="17">
        <f t="shared" ref="N77:N79" si="32">SUM(B77:M77)</f>
        <v>179.66</v>
      </c>
      <c r="O77" s="1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idden="1" x14ac:dyDescent="0.25">
      <c r="A78" s="8" t="s">
        <v>114</v>
      </c>
      <c r="B78" s="11">
        <v>75.3</v>
      </c>
      <c r="C78" s="11">
        <v>22.85</v>
      </c>
      <c r="D78" s="11">
        <v>106.12</v>
      </c>
      <c r="E78" s="11">
        <v>107.83</v>
      </c>
      <c r="F78" s="11">
        <v>175.05</v>
      </c>
      <c r="G78" s="11">
        <v>90.05</v>
      </c>
      <c r="H78" s="11">
        <v>101.23</v>
      </c>
      <c r="I78" s="11">
        <v>136.94</v>
      </c>
      <c r="J78" s="11">
        <v>121.28</v>
      </c>
      <c r="K78" s="11">
        <v>181.91</v>
      </c>
      <c r="L78" s="11">
        <v>192.41</v>
      </c>
      <c r="M78" s="11">
        <v>148.4</v>
      </c>
      <c r="N78" s="17">
        <f t="shared" si="32"/>
        <v>1459.3700000000003</v>
      </c>
      <c r="O78" s="1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idden="1" x14ac:dyDescent="0.25">
      <c r="A79" s="8" t="s">
        <v>115</v>
      </c>
      <c r="B79" s="11">
        <v>428.76</v>
      </c>
      <c r="C79" s="11">
        <v>457.94</v>
      </c>
      <c r="D79" s="11">
        <v>505.56</v>
      </c>
      <c r="E79" s="11">
        <v>539.97</v>
      </c>
      <c r="F79" s="11">
        <v>497.88</v>
      </c>
      <c r="G79" s="11">
        <v>455.6</v>
      </c>
      <c r="H79" s="11">
        <v>447.19</v>
      </c>
      <c r="I79" s="11">
        <v>543.97</v>
      </c>
      <c r="J79" s="11">
        <v>559.33000000000004</v>
      </c>
      <c r="K79" s="11">
        <v>592.37</v>
      </c>
      <c r="L79" s="11">
        <v>574.14</v>
      </c>
      <c r="M79" s="11">
        <v>459.48</v>
      </c>
      <c r="N79" s="17">
        <f t="shared" si="32"/>
        <v>6062.1900000000005</v>
      </c>
      <c r="O79" s="1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x14ac:dyDescent="0.25">
      <c r="A80" s="8" t="s">
        <v>116</v>
      </c>
      <c r="B80" s="10">
        <f>SUM(B77:B79)</f>
        <v>504.06</v>
      </c>
      <c r="C80" s="10">
        <f t="shared" ref="C80:N80" si="33">SUM(C77:C79)</f>
        <v>480.79</v>
      </c>
      <c r="D80" s="10">
        <f t="shared" si="33"/>
        <v>611.68000000000006</v>
      </c>
      <c r="E80" s="10">
        <f t="shared" si="33"/>
        <v>647.80000000000007</v>
      </c>
      <c r="F80" s="10">
        <f t="shared" si="33"/>
        <v>852.59</v>
      </c>
      <c r="G80" s="10">
        <f t="shared" si="33"/>
        <v>545.65</v>
      </c>
      <c r="H80" s="10">
        <f t="shared" si="33"/>
        <v>548.41999999999996</v>
      </c>
      <c r="I80" s="10">
        <f t="shared" si="33"/>
        <v>680.91000000000008</v>
      </c>
      <c r="J80" s="10">
        <f t="shared" si="33"/>
        <v>680.61</v>
      </c>
      <c r="K80" s="10">
        <f t="shared" si="33"/>
        <v>774.28</v>
      </c>
      <c r="L80" s="10">
        <f t="shared" si="33"/>
        <v>766.55</v>
      </c>
      <c r="M80" s="10">
        <f t="shared" si="33"/>
        <v>607.88</v>
      </c>
      <c r="N80" s="10">
        <f t="shared" si="33"/>
        <v>7701.2200000000012</v>
      </c>
      <c r="O80" s="1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idden="1" x14ac:dyDescent="0.25">
      <c r="A81" s="8" t="s">
        <v>117</v>
      </c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11">
        <v>0</v>
      </c>
      <c r="O81" s="6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idden="1" x14ac:dyDescent="0.25">
      <c r="A82" s="8" t="s">
        <v>118</v>
      </c>
      <c r="B82" s="18">
        <v>1618.95</v>
      </c>
      <c r="C82" s="18">
        <v>1618.95</v>
      </c>
      <c r="D82" s="18">
        <v>1618.95</v>
      </c>
      <c r="E82" s="18">
        <v>1618.95</v>
      </c>
      <c r="F82" s="18">
        <v>1618.95</v>
      </c>
      <c r="G82" s="18">
        <v>1618.95</v>
      </c>
      <c r="H82" s="18">
        <v>1618.95</v>
      </c>
      <c r="I82" s="18">
        <v>2218.98</v>
      </c>
      <c r="J82" s="18">
        <v>1618.95</v>
      </c>
      <c r="K82" s="18">
        <v>1618.95</v>
      </c>
      <c r="L82" s="18">
        <v>1618.95</v>
      </c>
      <c r="M82" s="18">
        <v>2218.98</v>
      </c>
      <c r="N82" s="17">
        <f>SUM(B82:M82)</f>
        <v>20627.460000000003</v>
      </c>
      <c r="O82" s="12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idden="1" x14ac:dyDescent="0.25">
      <c r="A83" s="8" t="s">
        <v>213</v>
      </c>
      <c r="B83" s="18">
        <f>B82*0.25*-1</f>
        <v>-404.73750000000001</v>
      </c>
      <c r="C83" s="18">
        <f t="shared" ref="C83:M83" si="34">C82*0.25*-1</f>
        <v>-404.73750000000001</v>
      </c>
      <c r="D83" s="18">
        <f t="shared" si="34"/>
        <v>-404.73750000000001</v>
      </c>
      <c r="E83" s="18">
        <f t="shared" si="34"/>
        <v>-404.73750000000001</v>
      </c>
      <c r="F83" s="18">
        <f t="shared" si="34"/>
        <v>-404.73750000000001</v>
      </c>
      <c r="G83" s="18">
        <f t="shared" si="34"/>
        <v>-404.73750000000001</v>
      </c>
      <c r="H83" s="18">
        <f t="shared" si="34"/>
        <v>-404.73750000000001</v>
      </c>
      <c r="I83" s="18">
        <f t="shared" si="34"/>
        <v>-554.745</v>
      </c>
      <c r="J83" s="18">
        <f t="shared" si="34"/>
        <v>-404.73750000000001</v>
      </c>
      <c r="K83" s="18">
        <f t="shared" si="34"/>
        <v>-404.73750000000001</v>
      </c>
      <c r="L83" s="18">
        <f t="shared" si="34"/>
        <v>-404.73750000000001</v>
      </c>
      <c r="M83" s="18">
        <f t="shared" si="34"/>
        <v>-554.745</v>
      </c>
      <c r="N83" s="17">
        <f t="shared" ref="N83:N100" si="35">SUM(B83:M83)</f>
        <v>-5156.8650000000007</v>
      </c>
      <c r="O83" s="12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idden="1" x14ac:dyDescent="0.25">
      <c r="A84" s="8" t="s">
        <v>119</v>
      </c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17">
        <f t="shared" si="35"/>
        <v>0</v>
      </c>
      <c r="O84" s="12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idden="1" x14ac:dyDescent="0.25">
      <c r="A85" s="8" t="s">
        <v>120</v>
      </c>
      <c r="B85" s="18">
        <v>1400</v>
      </c>
      <c r="C85" s="18">
        <v>1400</v>
      </c>
      <c r="D85" s="18">
        <v>1400</v>
      </c>
      <c r="E85" s="18">
        <v>1900</v>
      </c>
      <c r="F85" s="18">
        <v>1400</v>
      </c>
      <c r="G85" s="18">
        <v>1400</v>
      </c>
      <c r="H85" s="18">
        <v>1400</v>
      </c>
      <c r="I85" s="18">
        <v>1400</v>
      </c>
      <c r="J85" s="18">
        <v>1581.37</v>
      </c>
      <c r="K85" s="18">
        <v>1400</v>
      </c>
      <c r="L85" s="18">
        <v>1400</v>
      </c>
      <c r="M85" s="18">
        <v>1400</v>
      </c>
      <c r="N85" s="17">
        <f t="shared" si="35"/>
        <v>17481.37</v>
      </c>
      <c r="O85" s="12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idden="1" x14ac:dyDescent="0.25">
      <c r="A86" s="8" t="s">
        <v>121</v>
      </c>
      <c r="B86" s="6"/>
      <c r="C86" s="6"/>
      <c r="D86" s="6"/>
      <c r="E86" s="6"/>
      <c r="F86" s="6">
        <v>50</v>
      </c>
      <c r="G86" s="6"/>
      <c r="H86" s="6"/>
      <c r="I86" s="6">
        <v>50</v>
      </c>
      <c r="J86" s="6">
        <v>16</v>
      </c>
      <c r="K86" s="6"/>
      <c r="L86" s="6"/>
      <c r="M86" s="6"/>
      <c r="N86" s="17">
        <f t="shared" si="35"/>
        <v>116</v>
      </c>
      <c r="O86" s="12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idden="1" x14ac:dyDescent="0.25">
      <c r="A87" s="8" t="s">
        <v>122</v>
      </c>
      <c r="B87" s="6">
        <v>178.33</v>
      </c>
      <c r="C87" s="6">
        <v>178.33</v>
      </c>
      <c r="D87" s="6">
        <v>178.33</v>
      </c>
      <c r="E87" s="6">
        <v>178.33</v>
      </c>
      <c r="F87" s="6">
        <v>178.33</v>
      </c>
      <c r="G87" s="6">
        <v>178.33</v>
      </c>
      <c r="H87" s="6">
        <v>178.33</v>
      </c>
      <c r="I87" s="6">
        <v>178.33</v>
      </c>
      <c r="J87" s="6">
        <v>178.33</v>
      </c>
      <c r="K87" s="6">
        <v>178.33</v>
      </c>
      <c r="L87" s="6">
        <v>178.33</v>
      </c>
      <c r="M87" s="6">
        <v>178.33</v>
      </c>
      <c r="N87" s="17">
        <f t="shared" si="35"/>
        <v>2139.9599999999996</v>
      </c>
      <c r="O87" s="12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x14ac:dyDescent="0.25">
      <c r="A88" s="29" t="s">
        <v>123</v>
      </c>
      <c r="B88" s="10">
        <f>SUM(B82:B87)</f>
        <v>2792.5425</v>
      </c>
      <c r="C88" s="10">
        <f t="shared" ref="C88:M88" si="36">SUM(C82:C87)</f>
        <v>2792.5425</v>
      </c>
      <c r="D88" s="10">
        <f t="shared" si="36"/>
        <v>2792.5425</v>
      </c>
      <c r="E88" s="10">
        <f t="shared" si="36"/>
        <v>3292.5425</v>
      </c>
      <c r="F88" s="10">
        <f t="shared" si="36"/>
        <v>2842.5425</v>
      </c>
      <c r="G88" s="10">
        <f t="shared" si="36"/>
        <v>2792.5425</v>
      </c>
      <c r="H88" s="10">
        <f t="shared" si="36"/>
        <v>2792.5425</v>
      </c>
      <c r="I88" s="10">
        <f t="shared" si="36"/>
        <v>3292.5650000000001</v>
      </c>
      <c r="J88" s="10">
        <f t="shared" si="36"/>
        <v>2989.9124999999999</v>
      </c>
      <c r="K88" s="10">
        <f t="shared" si="36"/>
        <v>2792.5425</v>
      </c>
      <c r="L88" s="10">
        <f t="shared" si="36"/>
        <v>2792.5425</v>
      </c>
      <c r="M88" s="10">
        <f t="shared" si="36"/>
        <v>3242.5650000000001</v>
      </c>
      <c r="N88" s="92">
        <f t="shared" si="35"/>
        <v>35207.924999999996</v>
      </c>
      <c r="O88" s="6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idden="1" x14ac:dyDescent="0.25">
      <c r="A89" s="8" t="s">
        <v>124</v>
      </c>
      <c r="B89" s="6"/>
      <c r="C89" s="6"/>
      <c r="D89" s="6"/>
      <c r="E89" s="6"/>
      <c r="F89" s="11"/>
      <c r="G89" s="6">
        <v>120</v>
      </c>
      <c r="H89" s="11"/>
      <c r="I89" s="11"/>
      <c r="J89" s="11">
        <v>54</v>
      </c>
      <c r="K89" s="11"/>
      <c r="L89" s="6"/>
      <c r="M89" s="11"/>
      <c r="N89" s="92">
        <f t="shared" si="35"/>
        <v>174</v>
      </c>
      <c r="O89" s="12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idden="1" x14ac:dyDescent="0.25">
      <c r="A90" s="8" t="s">
        <v>125</v>
      </c>
      <c r="B90" s="6"/>
      <c r="C90" s="6"/>
      <c r="D90" s="17">
        <v>1374.46</v>
      </c>
      <c r="E90" s="6"/>
      <c r="F90" s="6"/>
      <c r="G90" s="6"/>
      <c r="H90" s="6"/>
      <c r="I90" s="11">
        <v>226.99</v>
      </c>
      <c r="J90" s="6"/>
      <c r="K90" s="11"/>
      <c r="L90" s="11"/>
      <c r="M90" s="11"/>
      <c r="N90" s="92">
        <f t="shared" si="35"/>
        <v>1601.45</v>
      </c>
      <c r="O90" s="12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idden="1" x14ac:dyDescent="0.25">
      <c r="A91" s="8" t="s">
        <v>126</v>
      </c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92">
        <f t="shared" si="35"/>
        <v>0</v>
      </c>
      <c r="O91" s="12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idden="1" x14ac:dyDescent="0.25">
      <c r="A92" s="8" t="s">
        <v>127</v>
      </c>
      <c r="B92" s="6">
        <v>935</v>
      </c>
      <c r="C92" s="6">
        <v>935</v>
      </c>
      <c r="D92" s="6">
        <v>935</v>
      </c>
      <c r="E92" s="6">
        <v>935</v>
      </c>
      <c r="F92" s="6">
        <v>935</v>
      </c>
      <c r="G92" s="6">
        <v>935</v>
      </c>
      <c r="H92" s="6">
        <v>935</v>
      </c>
      <c r="I92" s="6">
        <v>935</v>
      </c>
      <c r="J92" s="6">
        <v>946.9</v>
      </c>
      <c r="K92" s="6">
        <v>935</v>
      </c>
      <c r="L92" s="6">
        <v>935</v>
      </c>
      <c r="M92" s="6">
        <v>935</v>
      </c>
      <c r="N92" s="92">
        <f t="shared" si="35"/>
        <v>11231.9</v>
      </c>
      <c r="O92" s="12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idden="1" x14ac:dyDescent="0.25">
      <c r="A93" s="8" t="s">
        <v>128</v>
      </c>
      <c r="B93" s="11">
        <v>134.32</v>
      </c>
      <c r="C93" s="6">
        <v>47.81</v>
      </c>
      <c r="D93" s="11">
        <v>116.59</v>
      </c>
      <c r="E93" s="11">
        <v>66.67</v>
      </c>
      <c r="F93" s="6">
        <v>60.27</v>
      </c>
      <c r="G93" s="6">
        <v>71.03</v>
      </c>
      <c r="H93" s="6">
        <v>68.11</v>
      </c>
      <c r="I93" s="6">
        <v>95.96</v>
      </c>
      <c r="J93" s="11">
        <v>364.51</v>
      </c>
      <c r="K93" s="6">
        <v>10.66</v>
      </c>
      <c r="L93" s="6">
        <v>75.95</v>
      </c>
      <c r="M93" s="6">
        <v>74.930000000000007</v>
      </c>
      <c r="N93" s="105">
        <f t="shared" si="35"/>
        <v>1186.8100000000002</v>
      </c>
      <c r="O93" s="12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idden="1" x14ac:dyDescent="0.25">
      <c r="A94" s="8" t="s">
        <v>129</v>
      </c>
      <c r="B94" s="11"/>
      <c r="C94" s="11"/>
      <c r="D94" s="11"/>
      <c r="E94" s="11"/>
      <c r="F94" s="11">
        <v>66.22</v>
      </c>
      <c r="G94" s="11"/>
      <c r="H94" s="11"/>
      <c r="I94" s="11"/>
      <c r="J94" s="11"/>
      <c r="K94" s="11"/>
      <c r="L94" s="11"/>
      <c r="M94" s="11"/>
      <c r="N94" s="105">
        <f t="shared" si="35"/>
        <v>66.22</v>
      </c>
      <c r="O94" s="12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idden="1" x14ac:dyDescent="0.25">
      <c r="A95" s="8" t="s">
        <v>130</v>
      </c>
      <c r="B95" s="11"/>
      <c r="C95" s="6"/>
      <c r="D95" s="11"/>
      <c r="E95" s="11">
        <v>48.45</v>
      </c>
      <c r="F95" s="6"/>
      <c r="G95" s="6"/>
      <c r="H95" s="6">
        <v>110.55</v>
      </c>
      <c r="I95" s="6"/>
      <c r="J95" s="11"/>
      <c r="K95" s="6">
        <v>109.88</v>
      </c>
      <c r="L95" s="6"/>
      <c r="M95" s="6"/>
      <c r="N95" s="105">
        <f t="shared" si="35"/>
        <v>268.88</v>
      </c>
      <c r="O95" s="12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x14ac:dyDescent="0.25">
      <c r="A96" s="8" t="s">
        <v>131</v>
      </c>
      <c r="B96" s="10">
        <v>134.32</v>
      </c>
      <c r="C96" s="10">
        <v>47.81</v>
      </c>
      <c r="D96" s="10">
        <v>116.59</v>
      </c>
      <c r="E96" s="10">
        <v>115.12</v>
      </c>
      <c r="F96" s="10">
        <v>126.49</v>
      </c>
      <c r="G96" s="10">
        <v>71.03</v>
      </c>
      <c r="H96" s="10">
        <v>178.66</v>
      </c>
      <c r="I96" s="10">
        <v>95.96</v>
      </c>
      <c r="J96" s="10">
        <v>364.51</v>
      </c>
      <c r="K96" s="10">
        <v>120.54</v>
      </c>
      <c r="L96" s="10">
        <v>75.95</v>
      </c>
      <c r="M96" s="10">
        <v>74.930000000000007</v>
      </c>
      <c r="N96" s="92">
        <f t="shared" si="35"/>
        <v>1521.91</v>
      </c>
      <c r="O96" s="12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20.100000000000001" hidden="1" customHeight="1" x14ac:dyDescent="0.25">
      <c r="A97" s="29" t="s">
        <v>132</v>
      </c>
      <c r="B97" s="11"/>
      <c r="C97" s="11"/>
      <c r="D97" s="11"/>
      <c r="E97" s="11">
        <v>30</v>
      </c>
      <c r="F97" s="11"/>
      <c r="G97" s="11"/>
      <c r="H97" s="11"/>
      <c r="I97" s="11"/>
      <c r="J97" s="11"/>
      <c r="K97" s="11"/>
      <c r="L97" s="11">
        <v>31.97</v>
      </c>
      <c r="M97" s="11"/>
      <c r="N97" s="92">
        <f t="shared" si="35"/>
        <v>61.97</v>
      </c>
      <c r="O97" s="12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idden="1" x14ac:dyDescent="0.25">
      <c r="A98" s="8" t="s">
        <v>133</v>
      </c>
      <c r="B98" s="6"/>
      <c r="C98" s="11">
        <v>323.98</v>
      </c>
      <c r="D98" s="6"/>
      <c r="E98" s="6"/>
      <c r="F98" s="11"/>
      <c r="G98" s="11"/>
      <c r="H98" s="11">
        <v>369.19</v>
      </c>
      <c r="I98" s="11"/>
      <c r="J98" s="11"/>
      <c r="K98" s="12"/>
      <c r="L98" s="11"/>
      <c r="M98" s="11">
        <v>975.53</v>
      </c>
      <c r="N98" s="105">
        <f t="shared" si="35"/>
        <v>1668.7</v>
      </c>
      <c r="O98" s="12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idden="1" x14ac:dyDescent="0.25">
      <c r="A99" s="8" t="s">
        <v>134</v>
      </c>
      <c r="B99" s="6"/>
      <c r="C99" s="11"/>
      <c r="D99" s="6"/>
      <c r="E99" s="6"/>
      <c r="F99" s="11"/>
      <c r="G99" s="11"/>
      <c r="H99" s="11"/>
      <c r="I99" s="11"/>
      <c r="J99" s="11"/>
      <c r="K99" s="12"/>
      <c r="L99" s="11"/>
      <c r="M99" s="11">
        <v>581.70000000000005</v>
      </c>
      <c r="N99" s="105">
        <f t="shared" si="35"/>
        <v>581.70000000000005</v>
      </c>
      <c r="O99" s="12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idden="1" x14ac:dyDescent="0.25">
      <c r="A100" s="8" t="s">
        <v>135</v>
      </c>
      <c r="B100" s="10">
        <v>0</v>
      </c>
      <c r="C100" s="10">
        <v>323.98</v>
      </c>
      <c r="D100" s="10">
        <v>0</v>
      </c>
      <c r="E100" s="10">
        <v>0</v>
      </c>
      <c r="F100" s="10">
        <v>0</v>
      </c>
      <c r="G100" s="10">
        <v>0</v>
      </c>
      <c r="H100" s="10">
        <v>369.19</v>
      </c>
      <c r="I100" s="10">
        <v>0</v>
      </c>
      <c r="J100" s="10">
        <v>0</v>
      </c>
      <c r="K100" s="10">
        <v>0</v>
      </c>
      <c r="L100" s="10">
        <v>0</v>
      </c>
      <c r="M100" s="10">
        <v>1557.23</v>
      </c>
      <c r="N100" s="92">
        <f t="shared" si="35"/>
        <v>2250.4</v>
      </c>
      <c r="O100" s="12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idden="1" x14ac:dyDescent="0.25">
      <c r="A101" s="8" t="s">
        <v>136</v>
      </c>
      <c r="B101" s="11">
        <v>12.57</v>
      </c>
      <c r="C101" s="11">
        <v>15.01</v>
      </c>
      <c r="D101" s="11">
        <v>19.2</v>
      </c>
      <c r="E101" s="11">
        <v>22.22</v>
      </c>
      <c r="F101" s="11"/>
      <c r="G101" s="11">
        <v>17.87</v>
      </c>
      <c r="H101" s="11">
        <v>27.7</v>
      </c>
      <c r="I101" s="11">
        <v>31.98</v>
      </c>
      <c r="J101" s="11">
        <v>25.58</v>
      </c>
      <c r="K101" s="11">
        <v>36.880000000000003</v>
      </c>
      <c r="L101" s="11">
        <v>25.39</v>
      </c>
      <c r="M101" s="11">
        <v>24.97</v>
      </c>
      <c r="N101" s="97">
        <f>SUM(B101:M101)</f>
        <v>259.37</v>
      </c>
      <c r="O101" s="12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idden="1" x14ac:dyDescent="0.25">
      <c r="A102" s="8" t="s">
        <v>137</v>
      </c>
      <c r="B102" s="6"/>
      <c r="C102" s="6"/>
      <c r="D102" s="6"/>
      <c r="E102" s="6"/>
      <c r="F102" s="11"/>
      <c r="G102" s="11"/>
      <c r="H102" s="11"/>
      <c r="I102" s="11"/>
      <c r="J102" s="6"/>
      <c r="K102" s="11"/>
      <c r="L102" s="6"/>
      <c r="M102" s="11"/>
      <c r="N102" s="9">
        <f t="shared" ref="N102:N108" si="37">SUM(B102:M102)</f>
        <v>0</v>
      </c>
      <c r="O102" s="12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idden="1" x14ac:dyDescent="0.25">
      <c r="A103" s="8" t="s">
        <v>138</v>
      </c>
      <c r="B103" s="6"/>
      <c r="C103" s="11"/>
      <c r="D103" s="11"/>
      <c r="E103" s="11">
        <v>690.05</v>
      </c>
      <c r="F103" s="6"/>
      <c r="G103" s="11"/>
      <c r="H103" s="11"/>
      <c r="I103" s="11">
        <v>36.869999999999997</v>
      </c>
      <c r="J103" s="11"/>
      <c r="K103" s="11"/>
      <c r="L103" s="11"/>
      <c r="M103" s="11"/>
      <c r="N103" s="9">
        <f t="shared" si="37"/>
        <v>726.92</v>
      </c>
      <c r="O103" s="12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idden="1" x14ac:dyDescent="0.25">
      <c r="A104" s="8" t="s">
        <v>139</v>
      </c>
      <c r="B104" s="6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>
        <f t="shared" si="37"/>
        <v>0</v>
      </c>
      <c r="O104" s="12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idden="1" x14ac:dyDescent="0.25">
      <c r="A105" s="8" t="s">
        <v>140</v>
      </c>
      <c r="B105" s="6">
        <v>89.6</v>
      </c>
      <c r="C105" s="6">
        <v>89.6</v>
      </c>
      <c r="D105" s="6">
        <v>89.6</v>
      </c>
      <c r="E105" s="6">
        <v>89.6</v>
      </c>
      <c r="F105" s="6">
        <v>89.6</v>
      </c>
      <c r="G105" s="6">
        <v>89.6</v>
      </c>
      <c r="H105" s="6">
        <v>89.6</v>
      </c>
      <c r="I105" s="6">
        <v>89.6</v>
      </c>
      <c r="J105" s="6">
        <v>89.6</v>
      </c>
      <c r="K105" s="6">
        <v>109.52</v>
      </c>
      <c r="L105" s="6">
        <v>89.6</v>
      </c>
      <c r="M105" s="6">
        <v>89.6</v>
      </c>
      <c r="N105" s="11">
        <f t="shared" si="37"/>
        <v>1095.1200000000001</v>
      </c>
      <c r="O105" s="12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idden="1" x14ac:dyDescent="0.25">
      <c r="A106" s="8" t="s">
        <v>141</v>
      </c>
      <c r="B106" s="6">
        <v>133.56</v>
      </c>
      <c r="C106" s="11">
        <v>136.46</v>
      </c>
      <c r="D106" s="11">
        <v>138.44</v>
      </c>
      <c r="E106" s="11">
        <v>115.13</v>
      </c>
      <c r="F106" s="11">
        <v>147.55000000000001</v>
      </c>
      <c r="G106" s="11">
        <v>163.69999999999999</v>
      </c>
      <c r="H106" s="11">
        <v>146.24</v>
      </c>
      <c r="I106" s="11">
        <v>193.22</v>
      </c>
      <c r="J106" s="11">
        <v>159.01</v>
      </c>
      <c r="K106" s="11">
        <v>175.97</v>
      </c>
      <c r="L106" s="11">
        <v>182.3</v>
      </c>
      <c r="M106" s="11">
        <v>151.06</v>
      </c>
      <c r="N106" s="11">
        <f t="shared" si="37"/>
        <v>1842.6399999999999</v>
      </c>
      <c r="O106" s="12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idden="1" x14ac:dyDescent="0.25">
      <c r="A107" s="8" t="s">
        <v>142</v>
      </c>
      <c r="B107" s="6">
        <v>153.52000000000001</v>
      </c>
      <c r="C107" s="6">
        <v>159.55000000000001</v>
      </c>
      <c r="D107" s="6">
        <v>153.52000000000001</v>
      </c>
      <c r="E107" s="6">
        <v>193.12</v>
      </c>
      <c r="F107" s="6">
        <v>163.12</v>
      </c>
      <c r="G107" s="6">
        <v>153.52000000000001</v>
      </c>
      <c r="H107" s="6">
        <v>168.14</v>
      </c>
      <c r="I107" s="6">
        <v>153.52000000000001</v>
      </c>
      <c r="J107" s="6">
        <v>153.52000000000001</v>
      </c>
      <c r="K107" s="6">
        <v>203.7</v>
      </c>
      <c r="L107" s="6">
        <v>153.52000000000001</v>
      </c>
      <c r="M107" s="6">
        <v>153.51</v>
      </c>
      <c r="N107" s="11">
        <f t="shared" si="37"/>
        <v>1962.26</v>
      </c>
      <c r="O107" s="12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idden="1" x14ac:dyDescent="0.25">
      <c r="A108" s="8" t="s">
        <v>143</v>
      </c>
      <c r="B108" s="6">
        <v>44.8</v>
      </c>
      <c r="C108" s="6">
        <v>44.8</v>
      </c>
      <c r="D108" s="6">
        <v>94.25</v>
      </c>
      <c r="E108" s="6">
        <v>48.17</v>
      </c>
      <c r="F108" s="6">
        <v>44.8</v>
      </c>
      <c r="G108" s="6">
        <v>44.8</v>
      </c>
      <c r="H108" s="6">
        <v>44.8</v>
      </c>
      <c r="I108" s="6">
        <v>44.8</v>
      </c>
      <c r="J108" s="6">
        <v>44.8</v>
      </c>
      <c r="K108" s="6">
        <v>44.8</v>
      </c>
      <c r="L108" s="6">
        <v>44.8</v>
      </c>
      <c r="M108" s="6">
        <v>44.79</v>
      </c>
      <c r="N108" s="11">
        <f t="shared" si="37"/>
        <v>590.41</v>
      </c>
      <c r="O108" s="12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idden="1" x14ac:dyDescent="0.25">
      <c r="A109" s="8" t="s">
        <v>144</v>
      </c>
      <c r="B109" s="10">
        <f>SUM(B105:B108)</f>
        <v>421.48</v>
      </c>
      <c r="C109" s="10">
        <f t="shared" ref="C109:N109" si="38">SUM(C105:C108)</f>
        <v>430.41</v>
      </c>
      <c r="D109" s="10">
        <f t="shared" si="38"/>
        <v>475.81</v>
      </c>
      <c r="E109" s="10">
        <f t="shared" si="38"/>
        <v>446.02000000000004</v>
      </c>
      <c r="F109" s="10">
        <f t="shared" si="38"/>
        <v>445.07</v>
      </c>
      <c r="G109" s="10">
        <f t="shared" si="38"/>
        <v>451.62</v>
      </c>
      <c r="H109" s="10">
        <f t="shared" si="38"/>
        <v>448.78000000000003</v>
      </c>
      <c r="I109" s="10">
        <f t="shared" si="38"/>
        <v>481.14000000000004</v>
      </c>
      <c r="J109" s="10">
        <f t="shared" si="38"/>
        <v>446.93</v>
      </c>
      <c r="K109" s="10">
        <f t="shared" si="38"/>
        <v>533.99</v>
      </c>
      <c r="L109" s="10">
        <f t="shared" si="38"/>
        <v>470.21999999999997</v>
      </c>
      <c r="M109" s="10">
        <f t="shared" si="38"/>
        <v>438.96</v>
      </c>
      <c r="N109" s="10">
        <f t="shared" si="38"/>
        <v>5490.43</v>
      </c>
      <c r="O109" s="12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x14ac:dyDescent="0.25">
      <c r="A110" s="29" t="s">
        <v>145</v>
      </c>
      <c r="B110" s="10">
        <f>B55+B56+B57+B58+B63+B64+B65+B66+B67+B68+B69+B70+B75+B76+B80+B88+B89+B90+B91+B92+B96+B97+B100+B101+B102+B103+B109</f>
        <v>6790.8125</v>
      </c>
      <c r="C110" s="10">
        <f t="shared" ref="C110:N110" si="39">C55+C56+C57+C58+C63+C64+C65+C66+C67+C68+C69+C70+C75+C76+C80+C88+C89+C90+C91+C92+C96+C97+C100+C101+C102+C103+C109</f>
        <v>7423.7925000000014</v>
      </c>
      <c r="D110" s="10">
        <f t="shared" si="39"/>
        <v>9656.7725000000009</v>
      </c>
      <c r="E110" s="10">
        <f t="shared" si="39"/>
        <v>8757.0025000000005</v>
      </c>
      <c r="F110" s="10">
        <f t="shared" si="39"/>
        <v>9574.9724999999999</v>
      </c>
      <c r="G110" s="10">
        <f t="shared" si="39"/>
        <v>7266.4824999999992</v>
      </c>
      <c r="H110" s="10">
        <f t="shared" si="39"/>
        <v>7541.4624999999987</v>
      </c>
      <c r="I110" s="10">
        <f t="shared" si="39"/>
        <v>8614.4049999999988</v>
      </c>
      <c r="J110" s="10">
        <f t="shared" si="39"/>
        <v>7876.7725</v>
      </c>
      <c r="K110" s="10">
        <f t="shared" si="39"/>
        <v>7464.8125</v>
      </c>
      <c r="L110" s="10">
        <f t="shared" si="39"/>
        <v>7214.7125000000015</v>
      </c>
      <c r="M110" s="10">
        <f t="shared" si="39"/>
        <v>11354.114999999998</v>
      </c>
      <c r="N110" s="10">
        <f t="shared" si="39"/>
        <v>99536.114999999991</v>
      </c>
      <c r="O110" s="12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x14ac:dyDescent="0.25">
      <c r="A111" s="158" t="s">
        <v>257</v>
      </c>
      <c r="B111" s="156">
        <f>$Q$28</f>
        <v>1750</v>
      </c>
      <c r="C111" s="156">
        <f t="shared" ref="C111:M111" si="40">$Q$28</f>
        <v>1750</v>
      </c>
      <c r="D111" s="156">
        <f t="shared" si="40"/>
        <v>1750</v>
      </c>
      <c r="E111" s="156">
        <f t="shared" si="40"/>
        <v>1750</v>
      </c>
      <c r="F111" s="156">
        <f t="shared" si="40"/>
        <v>1750</v>
      </c>
      <c r="G111" s="156">
        <f t="shared" si="40"/>
        <v>1750</v>
      </c>
      <c r="H111" s="156">
        <f t="shared" si="40"/>
        <v>1750</v>
      </c>
      <c r="I111" s="156">
        <f t="shared" si="40"/>
        <v>1750</v>
      </c>
      <c r="J111" s="156">
        <f t="shared" si="40"/>
        <v>1750</v>
      </c>
      <c r="K111" s="156">
        <f t="shared" si="40"/>
        <v>1750</v>
      </c>
      <c r="L111" s="156">
        <f t="shared" si="40"/>
        <v>1750</v>
      </c>
      <c r="M111" s="156">
        <f t="shared" si="40"/>
        <v>1750</v>
      </c>
      <c r="N111" s="156">
        <f>SUM(B111:M111)</f>
        <v>21000</v>
      </c>
      <c r="O111" s="12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idden="1" x14ac:dyDescent="0.25">
      <c r="A112" s="8" t="s">
        <v>146</v>
      </c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12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idden="1" x14ac:dyDescent="0.25">
      <c r="A113" s="8" t="s">
        <v>147</v>
      </c>
      <c r="B113" s="11">
        <v>4.12</v>
      </c>
      <c r="C113" s="6">
        <v>4.2</v>
      </c>
      <c r="D113" s="11">
        <v>4.8899999999999997</v>
      </c>
      <c r="E113" s="11">
        <v>4.18</v>
      </c>
      <c r="F113" s="6">
        <v>1.87</v>
      </c>
      <c r="G113" s="6">
        <v>1.56</v>
      </c>
      <c r="H113" s="6">
        <v>1.41</v>
      </c>
      <c r="I113" s="6">
        <v>4.58</v>
      </c>
      <c r="J113" s="11">
        <v>3.44</v>
      </c>
      <c r="K113" s="6">
        <v>5.41</v>
      </c>
      <c r="L113" s="6">
        <v>8.57</v>
      </c>
      <c r="M113" s="6">
        <v>5.66</v>
      </c>
      <c r="N113" s="11">
        <v>49.89</v>
      </c>
      <c r="O113" s="12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idden="1" x14ac:dyDescent="0.25">
      <c r="A114" s="8" t="s">
        <v>148</v>
      </c>
      <c r="B114" s="10">
        <v>4.12</v>
      </c>
      <c r="C114" s="10">
        <v>4.2</v>
      </c>
      <c r="D114" s="10">
        <v>4.8899999999999997</v>
      </c>
      <c r="E114" s="10">
        <v>4.18</v>
      </c>
      <c r="F114" s="10">
        <v>1.87</v>
      </c>
      <c r="G114" s="10">
        <v>1.56</v>
      </c>
      <c r="H114" s="10">
        <v>1.41</v>
      </c>
      <c r="I114" s="10">
        <v>4.58</v>
      </c>
      <c r="J114" s="10">
        <v>3.44</v>
      </c>
      <c r="K114" s="10">
        <v>5.41</v>
      </c>
      <c r="L114" s="10">
        <v>8.57</v>
      </c>
      <c r="M114" s="10">
        <v>5.66</v>
      </c>
      <c r="N114" s="10">
        <v>49.89</v>
      </c>
      <c r="O114" s="12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idden="1" x14ac:dyDescent="0.25">
      <c r="A115" s="8" t="s">
        <v>149</v>
      </c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12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idden="1" x14ac:dyDescent="0.25">
      <c r="A116" s="8" t="s">
        <v>150</v>
      </c>
      <c r="B116" s="6"/>
      <c r="C116" s="6"/>
      <c r="D116" s="6"/>
      <c r="E116" s="11"/>
      <c r="F116" s="11"/>
      <c r="G116" s="6">
        <v>150</v>
      </c>
      <c r="H116" s="6"/>
      <c r="I116" s="6">
        <v>53.89</v>
      </c>
      <c r="J116" s="6">
        <v>48.14</v>
      </c>
      <c r="K116" s="6"/>
      <c r="L116" s="11"/>
      <c r="M116" s="6"/>
      <c r="N116" s="11">
        <v>252.03</v>
      </c>
      <c r="O116" s="12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idden="1" x14ac:dyDescent="0.25">
      <c r="A117" s="8" t="s">
        <v>151</v>
      </c>
      <c r="B117" s="6"/>
      <c r="C117" s="6"/>
      <c r="D117" s="6"/>
      <c r="E117" s="6">
        <v>-0.02</v>
      </c>
      <c r="F117" s="6"/>
      <c r="G117" s="6"/>
      <c r="H117" s="6"/>
      <c r="I117" s="11"/>
      <c r="J117" s="6"/>
      <c r="K117" s="6"/>
      <c r="L117" s="6"/>
      <c r="M117" s="6"/>
      <c r="N117" s="11">
        <v>-0.02</v>
      </c>
      <c r="O117" s="12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idden="1" x14ac:dyDescent="0.25">
      <c r="A118" s="8" t="s">
        <v>152</v>
      </c>
      <c r="B118" s="10">
        <v>0</v>
      </c>
      <c r="C118" s="10">
        <v>0</v>
      </c>
      <c r="D118" s="10">
        <v>0</v>
      </c>
      <c r="E118" s="10">
        <v>-0.02</v>
      </c>
      <c r="F118" s="10">
        <v>0</v>
      </c>
      <c r="G118" s="10">
        <v>150</v>
      </c>
      <c r="H118" s="10">
        <v>0</v>
      </c>
      <c r="I118" s="10">
        <v>53.89</v>
      </c>
      <c r="J118" s="10">
        <v>48.14</v>
      </c>
      <c r="K118" s="10">
        <v>0</v>
      </c>
      <c r="L118" s="10">
        <v>0</v>
      </c>
      <c r="M118" s="10">
        <v>0</v>
      </c>
      <c r="N118" s="10">
        <v>252.01</v>
      </c>
      <c r="O118" s="12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20.25" x14ac:dyDescent="0.3">
      <c r="A119" s="83" t="s">
        <v>153</v>
      </c>
      <c r="B119" s="10">
        <f>B23-B44-B110+B114-B118</f>
        <v>14.184121299939871</v>
      </c>
      <c r="C119" s="10">
        <f>C23-C44-C110+C114-C118</f>
        <v>-698.83395575933059</v>
      </c>
      <c r="D119" s="10">
        <f t="shared" ref="D119:N119" si="41">D23-D44-D110+D114-D118</f>
        <v>-2677.027375833482</v>
      </c>
      <c r="E119" s="10">
        <f t="shared" si="41"/>
        <v>-1391.0927181168452</v>
      </c>
      <c r="F119" s="10">
        <f t="shared" si="41"/>
        <v>920.23290190521323</v>
      </c>
      <c r="G119" s="10">
        <f t="shared" si="41"/>
        <v>1200.8498253615703</v>
      </c>
      <c r="H119" s="10">
        <f t="shared" si="41"/>
        <v>38.072233070735052</v>
      </c>
      <c r="I119" s="10">
        <f t="shared" si="41"/>
        <v>717.53186168163802</v>
      </c>
      <c r="J119" s="10">
        <f t="shared" si="41"/>
        <v>3063.3332826225414</v>
      </c>
      <c r="K119" s="10">
        <f t="shared" si="41"/>
        <v>4413.6258883833652</v>
      </c>
      <c r="L119" s="10">
        <f t="shared" si="41"/>
        <v>6427.0566322785126</v>
      </c>
      <c r="M119" s="10">
        <f t="shared" si="41"/>
        <v>747.89730310612515</v>
      </c>
      <c r="N119" s="10">
        <f t="shared" si="41"/>
        <v>12775.829999999953</v>
      </c>
      <c r="O119" s="12"/>
      <c r="P119" s="111">
        <f>SUM(B119:M119)</f>
        <v>12775.829999999984</v>
      </c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20.25" x14ac:dyDescent="0.3">
      <c r="A120" s="83" t="s">
        <v>154</v>
      </c>
      <c r="B120" s="127">
        <f>B119/B23</f>
        <v>6.4038920106170201E-4</v>
      </c>
      <c r="C120" s="127">
        <f t="shared" ref="C120:N120" si="42">C119/C23</f>
        <v>-2.6210634135229144E-2</v>
      </c>
      <c r="D120" s="127">
        <f t="shared" si="42"/>
        <v>-0.11686763776700324</v>
      </c>
      <c r="E120" s="127">
        <f t="shared" si="42"/>
        <v>-5.9803496406304994E-2</v>
      </c>
      <c r="F120" s="127">
        <f t="shared" si="42"/>
        <v>3.150022958215639E-2</v>
      </c>
      <c r="G120" s="127">
        <f t="shared" si="42"/>
        <v>4.7090524929397345E-2</v>
      </c>
      <c r="H120" s="127">
        <f t="shared" si="42"/>
        <v>1.5378110106277247E-3</v>
      </c>
      <c r="I120" s="127">
        <f t="shared" si="42"/>
        <v>2.3518525274708366E-2</v>
      </c>
      <c r="J120" s="127">
        <f t="shared" si="42"/>
        <v>9.6822717158056446E-2</v>
      </c>
      <c r="K120" s="127">
        <f t="shared" si="42"/>
        <v>0.13274110728770644</v>
      </c>
      <c r="L120" s="127">
        <f t="shared" si="42"/>
        <v>0.18557785559930873</v>
      </c>
      <c r="M120" s="127">
        <f t="shared" si="42"/>
        <v>2.3906978315379062E-2</v>
      </c>
      <c r="N120" s="127">
        <f t="shared" si="42"/>
        <v>3.8049936261934626E-2</v>
      </c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x14ac:dyDescent="0.25">
      <c r="A121" s="8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x14ac:dyDescent="0.25">
      <c r="A122" s="8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x14ac:dyDescent="0.25">
      <c r="A123" s="187"/>
      <c r="B123" s="187"/>
      <c r="C123" s="187"/>
      <c r="D123" s="187"/>
      <c r="E123" s="187"/>
      <c r="F123" s="187"/>
      <c r="G123" s="187"/>
      <c r="H123" s="187"/>
      <c r="I123" s="187"/>
      <c r="J123" s="187"/>
      <c r="K123" s="187"/>
      <c r="L123" s="187"/>
      <c r="M123" s="187"/>
      <c r="N123" s="187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23.25" x14ac:dyDescent="0.35">
      <c r="A124" s="106" t="s">
        <v>214</v>
      </c>
      <c r="B124" s="107"/>
      <c r="C124" s="107"/>
      <c r="D124" s="107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x14ac:dyDescent="0.25">
      <c r="A125" s="8" t="s">
        <v>215</v>
      </c>
      <c r="B125" s="21"/>
      <c r="C125" s="21"/>
      <c r="D125" s="21"/>
      <c r="E125" s="21"/>
      <c r="F125" s="22"/>
      <c r="G125" s="22"/>
      <c r="H125" s="22"/>
      <c r="I125" s="22"/>
      <c r="J125" s="22"/>
      <c r="K125" s="22"/>
      <c r="L125" s="22"/>
      <c r="M125" s="22"/>
      <c r="N125" s="24">
        <v>0</v>
      </c>
    </row>
    <row r="126" spans="1:25" x14ac:dyDescent="0.25">
      <c r="A126" s="8" t="s">
        <v>216</v>
      </c>
      <c r="B126" s="22">
        <v>890.54</v>
      </c>
      <c r="C126" s="22">
        <v>798.65</v>
      </c>
      <c r="D126" s="22">
        <v>1025.44</v>
      </c>
      <c r="E126" s="22">
        <v>2067.4499999999998</v>
      </c>
      <c r="F126" s="22">
        <v>2345.67</v>
      </c>
      <c r="G126" s="22">
        <v>2256.87</v>
      </c>
      <c r="H126" s="22">
        <v>2178.67</v>
      </c>
      <c r="I126" s="22">
        <v>2737.12</v>
      </c>
      <c r="J126" s="22">
        <v>2643.89</v>
      </c>
      <c r="K126" s="22">
        <v>2436.71</v>
      </c>
      <c r="L126" s="22">
        <v>1876</v>
      </c>
      <c r="M126" s="22">
        <v>2156</v>
      </c>
      <c r="N126" s="24">
        <f>SUM(B126:M126)</f>
        <v>23413.01</v>
      </c>
    </row>
    <row r="127" spans="1:25" x14ac:dyDescent="0.25">
      <c r="A127" s="8" t="s">
        <v>217</v>
      </c>
      <c r="B127" s="21">
        <v>667.88</v>
      </c>
      <c r="C127" s="21">
        <v>598.66999999999996</v>
      </c>
      <c r="D127" s="21">
        <v>701.22</v>
      </c>
      <c r="E127" s="21">
        <v>1275.8800000000001</v>
      </c>
      <c r="F127" s="22">
        <v>1284.33</v>
      </c>
      <c r="G127" s="22">
        <v>1332.45</v>
      </c>
      <c r="H127" s="22">
        <v>1356.78</v>
      </c>
      <c r="I127" s="22">
        <v>1567.89</v>
      </c>
      <c r="J127" s="22">
        <v>1409.45</v>
      </c>
      <c r="K127" s="22">
        <v>1406.45</v>
      </c>
      <c r="L127" s="22">
        <v>1636.74</v>
      </c>
      <c r="M127" s="22">
        <v>1663.54</v>
      </c>
      <c r="N127" s="24">
        <f>SUM(B127:M127)</f>
        <v>14901.279999999999</v>
      </c>
    </row>
    <row r="128" spans="1:25" x14ac:dyDescent="0.25">
      <c r="A128" s="8" t="s">
        <v>218</v>
      </c>
      <c r="B128" s="21">
        <v>200.59</v>
      </c>
      <c r="C128" s="21">
        <v>195.95</v>
      </c>
      <c r="D128" s="21">
        <v>262.23</v>
      </c>
      <c r="E128" s="21">
        <v>265.64999999999998</v>
      </c>
      <c r="F128" s="22">
        <v>353.1</v>
      </c>
      <c r="G128" s="22">
        <v>290.10000000000002</v>
      </c>
      <c r="H128" s="22">
        <v>252.45</v>
      </c>
      <c r="I128" s="22">
        <v>323.87</v>
      </c>
      <c r="J128" s="22">
        <v>292.55</v>
      </c>
      <c r="K128" s="22">
        <v>413.82</v>
      </c>
      <c r="L128" s="22">
        <v>443.81</v>
      </c>
      <c r="M128" s="22">
        <v>386.79</v>
      </c>
      <c r="N128" s="24">
        <f>SUM(B128:M128)</f>
        <v>3680.9100000000003</v>
      </c>
    </row>
    <row r="129" spans="1:16" x14ac:dyDescent="0.25">
      <c r="A129" s="29" t="s">
        <v>219</v>
      </c>
      <c r="B129" s="25">
        <f>SUM(B126:B128)</f>
        <v>1759.01</v>
      </c>
      <c r="C129" s="25">
        <f t="shared" ref="C129:M129" si="43">SUM(C126:C128)</f>
        <v>1593.27</v>
      </c>
      <c r="D129" s="25">
        <f t="shared" si="43"/>
        <v>1988.89</v>
      </c>
      <c r="E129" s="25">
        <f t="shared" si="43"/>
        <v>3608.98</v>
      </c>
      <c r="F129" s="25">
        <f t="shared" si="43"/>
        <v>3983.1</v>
      </c>
      <c r="G129" s="25">
        <f t="shared" si="43"/>
        <v>3879.4199999999996</v>
      </c>
      <c r="H129" s="25">
        <f t="shared" si="43"/>
        <v>3787.8999999999996</v>
      </c>
      <c r="I129" s="25">
        <f t="shared" si="43"/>
        <v>4628.88</v>
      </c>
      <c r="J129" s="25">
        <f t="shared" si="43"/>
        <v>4345.8900000000003</v>
      </c>
      <c r="K129" s="25">
        <f t="shared" si="43"/>
        <v>4256.9799999999996</v>
      </c>
      <c r="L129" s="25">
        <f t="shared" si="43"/>
        <v>3956.5499999999997</v>
      </c>
      <c r="M129" s="25">
        <f t="shared" si="43"/>
        <v>4206.33</v>
      </c>
      <c r="N129" s="25">
        <f>SUM(N125:N128)</f>
        <v>41995.199999999997</v>
      </c>
    </row>
    <row r="130" spans="1:16" x14ac:dyDescent="0.25">
      <c r="A130" s="8" t="s">
        <v>220</v>
      </c>
      <c r="B130" s="22"/>
      <c r="C130" s="22"/>
      <c r="D130" s="21"/>
      <c r="E130" s="21"/>
      <c r="F130" s="21"/>
      <c r="G130" s="21"/>
      <c r="H130" s="22"/>
      <c r="I130" s="21"/>
      <c r="J130" s="21"/>
      <c r="K130" s="21"/>
      <c r="L130" s="21"/>
      <c r="M130" s="22"/>
      <c r="N130" s="24">
        <v>0</v>
      </c>
    </row>
    <row r="131" spans="1:16" ht="31.5" x14ac:dyDescent="0.25">
      <c r="A131" s="8" t="s">
        <v>221</v>
      </c>
      <c r="B131" s="21">
        <v>1886.77</v>
      </c>
      <c r="C131" s="21">
        <v>2064.12</v>
      </c>
      <c r="D131" s="21">
        <v>2241.48</v>
      </c>
      <c r="E131" s="21">
        <v>2457.5100000000002</v>
      </c>
      <c r="F131" s="21">
        <v>2696.19</v>
      </c>
      <c r="G131" s="21">
        <v>2818.83</v>
      </c>
      <c r="H131" s="21">
        <v>1886.77</v>
      </c>
      <c r="I131" s="21">
        <v>2564.12</v>
      </c>
      <c r="J131" s="21">
        <v>3357.51</v>
      </c>
      <c r="K131" s="21">
        <v>3905.61</v>
      </c>
      <c r="L131" s="21">
        <v>3805.61</v>
      </c>
      <c r="M131" s="21">
        <v>3350.97</v>
      </c>
      <c r="N131" s="24">
        <f>SUM(B131:M131)</f>
        <v>33035.490000000005</v>
      </c>
    </row>
    <row r="132" spans="1:16" x14ac:dyDescent="0.25">
      <c r="A132" s="78" t="s">
        <v>222</v>
      </c>
      <c r="B132" s="79">
        <v>488.04</v>
      </c>
      <c r="C132" s="79">
        <v>536.04</v>
      </c>
      <c r="D132" s="80">
        <v>324.02999999999997</v>
      </c>
      <c r="E132" s="80">
        <v>264.02</v>
      </c>
      <c r="F132" s="80">
        <v>216.02</v>
      </c>
      <c r="G132" s="80">
        <v>544.04999999999995</v>
      </c>
      <c r="H132" s="79">
        <v>592.04999999999995</v>
      </c>
      <c r="I132" s="80">
        <v>600.05999999999995</v>
      </c>
      <c r="J132" s="80">
        <v>560.07000000000005</v>
      </c>
      <c r="K132" s="80">
        <v>428.03</v>
      </c>
      <c r="L132" s="80">
        <v>372.02</v>
      </c>
      <c r="M132" s="79">
        <v>376.08</v>
      </c>
      <c r="N132" s="81">
        <f>SUM(B132:M132)</f>
        <v>5300.51</v>
      </c>
    </row>
    <row r="133" spans="1:16" x14ac:dyDescent="0.25">
      <c r="A133" s="71" t="s">
        <v>223</v>
      </c>
      <c r="B133" s="30">
        <f>B131+B132</f>
        <v>2374.81</v>
      </c>
      <c r="C133" s="30">
        <f t="shared" ref="C133:J133" si="44">C131+C132</f>
        <v>2600.16</v>
      </c>
      <c r="D133" s="30">
        <f t="shared" si="44"/>
        <v>2565.5100000000002</v>
      </c>
      <c r="E133" s="30">
        <f t="shared" si="44"/>
        <v>2721.53</v>
      </c>
      <c r="F133" s="30">
        <f t="shared" si="44"/>
        <v>2912.21</v>
      </c>
      <c r="G133" s="30">
        <f t="shared" si="44"/>
        <v>3362.88</v>
      </c>
      <c r="H133" s="30">
        <f t="shared" si="44"/>
        <v>2478.8199999999997</v>
      </c>
      <c r="I133" s="30">
        <f t="shared" si="44"/>
        <v>3164.18</v>
      </c>
      <c r="J133" s="30">
        <f t="shared" si="44"/>
        <v>3917.5800000000004</v>
      </c>
      <c r="K133" s="30">
        <f>K131+K132</f>
        <v>4333.6400000000003</v>
      </c>
      <c r="L133" s="30">
        <f t="shared" ref="L133:M133" si="45">L131+L132</f>
        <v>4177.63</v>
      </c>
      <c r="M133" s="30">
        <f t="shared" si="45"/>
        <v>3727.0499999999997</v>
      </c>
      <c r="N133" s="31">
        <f>SUM(N131:N132)</f>
        <v>38336.000000000007</v>
      </c>
    </row>
    <row r="134" spans="1:16" x14ac:dyDescent="0.25">
      <c r="A134" s="8" t="s">
        <v>224</v>
      </c>
      <c r="B134" s="22"/>
      <c r="C134" s="22"/>
      <c r="D134" s="21"/>
      <c r="E134" s="21"/>
      <c r="F134" s="21"/>
      <c r="G134" s="21"/>
      <c r="H134" s="22"/>
      <c r="I134" s="21"/>
      <c r="J134" s="21"/>
      <c r="K134" s="21"/>
      <c r="L134" s="21"/>
      <c r="M134" s="22"/>
      <c r="N134" s="24"/>
    </row>
    <row r="135" spans="1:16" x14ac:dyDescent="0.25">
      <c r="A135" s="8" t="s">
        <v>225</v>
      </c>
      <c r="B135" s="22">
        <v>376.78</v>
      </c>
      <c r="C135" s="22">
        <v>398.65</v>
      </c>
      <c r="D135" s="21">
        <v>404</v>
      </c>
      <c r="E135" s="21">
        <v>412</v>
      </c>
      <c r="F135" s="21">
        <v>445</v>
      </c>
      <c r="G135" s="21">
        <v>478</v>
      </c>
      <c r="H135" s="22">
        <v>456</v>
      </c>
      <c r="I135" s="21">
        <v>578.65</v>
      </c>
      <c r="J135" s="21">
        <v>607</v>
      </c>
      <c r="K135" s="21">
        <v>609</v>
      </c>
      <c r="L135" s="21">
        <v>657</v>
      </c>
      <c r="M135" s="22">
        <v>580</v>
      </c>
      <c r="N135" s="24">
        <f>SUM(B135:M135)</f>
        <v>6002.08</v>
      </c>
    </row>
    <row r="136" spans="1:16" x14ac:dyDescent="0.25">
      <c r="A136" s="73" t="s">
        <v>226</v>
      </c>
      <c r="B136" s="74">
        <v>2356</v>
      </c>
      <c r="C136" s="74">
        <v>2578</v>
      </c>
      <c r="D136" s="75">
        <v>2480</v>
      </c>
      <c r="E136" s="75">
        <v>2674</v>
      </c>
      <c r="F136" s="75">
        <v>2389</v>
      </c>
      <c r="G136" s="75">
        <v>2674</v>
      </c>
      <c r="H136" s="74">
        <v>2787</v>
      </c>
      <c r="I136" s="75">
        <v>2911</v>
      </c>
      <c r="J136" s="75">
        <v>2885</v>
      </c>
      <c r="K136" s="75">
        <v>2863</v>
      </c>
      <c r="L136" s="75">
        <v>2367</v>
      </c>
      <c r="M136" s="74">
        <v>2237</v>
      </c>
      <c r="N136" s="82">
        <f>SUM(B136:M136)</f>
        <v>31201</v>
      </c>
      <c r="O136" s="72"/>
      <c r="P136" s="72"/>
    </row>
    <row r="137" spans="1:16" x14ac:dyDescent="0.25">
      <c r="A137" s="29" t="s">
        <v>227</v>
      </c>
      <c r="B137" s="30">
        <f>SUM(B135:B136)</f>
        <v>2732.7799999999997</v>
      </c>
      <c r="C137" s="30">
        <f t="shared" ref="C137:N137" si="46">SUM(C135:C136)</f>
        <v>2976.65</v>
      </c>
      <c r="D137" s="30">
        <f t="shared" si="46"/>
        <v>2884</v>
      </c>
      <c r="E137" s="30">
        <f t="shared" si="46"/>
        <v>3086</v>
      </c>
      <c r="F137" s="30">
        <f t="shared" si="46"/>
        <v>2834</v>
      </c>
      <c r="G137" s="30">
        <f t="shared" si="46"/>
        <v>3152</v>
      </c>
      <c r="H137" s="30">
        <f t="shared" si="46"/>
        <v>3243</v>
      </c>
      <c r="I137" s="30">
        <f t="shared" si="46"/>
        <v>3489.65</v>
      </c>
      <c r="J137" s="30">
        <f t="shared" si="46"/>
        <v>3492</v>
      </c>
      <c r="K137" s="30">
        <f t="shared" si="46"/>
        <v>3472</v>
      </c>
      <c r="L137" s="30">
        <f t="shared" si="46"/>
        <v>3024</v>
      </c>
      <c r="M137" s="30">
        <f t="shared" si="46"/>
        <v>2817</v>
      </c>
      <c r="N137" s="30">
        <f t="shared" si="46"/>
        <v>37203.08</v>
      </c>
    </row>
    <row r="138" spans="1:16" x14ac:dyDescent="0.25">
      <c r="A138" s="8" t="s">
        <v>228</v>
      </c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</row>
    <row r="139" spans="1:16" x14ac:dyDescent="0.25">
      <c r="A139" s="158" t="s">
        <v>229</v>
      </c>
      <c r="B139" s="159">
        <v>8245</v>
      </c>
      <c r="C139" s="159">
        <v>8301</v>
      </c>
      <c r="D139" s="159">
        <v>8456</v>
      </c>
      <c r="E139" s="159">
        <v>8540</v>
      </c>
      <c r="F139" s="159">
        <v>9156</v>
      </c>
      <c r="G139" s="159">
        <v>9245</v>
      </c>
      <c r="H139" s="159">
        <v>9867</v>
      </c>
      <c r="I139" s="160">
        <v>10164</v>
      </c>
      <c r="J139" s="159">
        <v>9423</v>
      </c>
      <c r="K139" s="160">
        <v>9785</v>
      </c>
      <c r="L139" s="160">
        <v>9657</v>
      </c>
      <c r="M139" s="160">
        <v>9785</v>
      </c>
      <c r="N139" s="161">
        <f>SUM(B139:M139)</f>
        <v>110624</v>
      </c>
    </row>
    <row r="140" spans="1:16" x14ac:dyDescent="0.25">
      <c r="A140" s="158" t="s">
        <v>258</v>
      </c>
      <c r="B140" s="159">
        <f>(B139*'ProForma Prod'!$Q$29)*-1</f>
        <v>-1649</v>
      </c>
      <c r="C140" s="159">
        <f>(C139*'ProForma Prod'!$Q$29)*-1</f>
        <v>-1660.2</v>
      </c>
      <c r="D140" s="159">
        <f>(D139*'ProForma Prod'!$Q$29)*-1</f>
        <v>-1691.2</v>
      </c>
      <c r="E140" s="159">
        <f>(E139*'ProForma Prod'!$Q$29)*-1</f>
        <v>-1708</v>
      </c>
      <c r="F140" s="159">
        <f>(F139*'ProForma Prod'!$Q$29)*-1</f>
        <v>-1831.2</v>
      </c>
      <c r="G140" s="159">
        <f>(G139*'ProForma Prod'!$Q$29)*-1</f>
        <v>-1849</v>
      </c>
      <c r="H140" s="159">
        <f>(H139*'ProForma Prod'!$Q$29)*-1</f>
        <v>-1973.4</v>
      </c>
      <c r="I140" s="159">
        <f>(I139*'ProForma Prod'!$Q$29)*-1</f>
        <v>-2032.8000000000002</v>
      </c>
      <c r="J140" s="159">
        <f>(J139*'ProForma Prod'!$Q$29)*-1</f>
        <v>-1884.6000000000001</v>
      </c>
      <c r="K140" s="159">
        <f>(K139*'ProForma Prod'!$Q$29)*-1</f>
        <v>-1957</v>
      </c>
      <c r="L140" s="159">
        <f>(L139*'ProForma Prod'!$Q$29)*-1</f>
        <v>-1931.4</v>
      </c>
      <c r="M140" s="159">
        <f>(M139*'ProForma Prod'!$Q$29)*-1</f>
        <v>-1957</v>
      </c>
      <c r="N140" s="161">
        <f>SUM(B140:M140)</f>
        <v>-22124.800000000003</v>
      </c>
    </row>
    <row r="141" spans="1:16" x14ac:dyDescent="0.25">
      <c r="A141" s="8" t="s">
        <v>230</v>
      </c>
      <c r="B141" s="22"/>
      <c r="C141" s="22"/>
      <c r="D141" s="22"/>
      <c r="E141" s="22"/>
      <c r="F141" s="22"/>
      <c r="G141" s="22"/>
      <c r="H141" s="22"/>
      <c r="I141" s="21">
        <v>1016.54</v>
      </c>
      <c r="J141" s="22">
        <v>839.75</v>
      </c>
      <c r="K141" s="21">
        <v>1237.53</v>
      </c>
      <c r="L141" s="21">
        <v>751.35</v>
      </c>
      <c r="M141" s="21">
        <v>574.58000000000004</v>
      </c>
      <c r="N141" s="24">
        <f t="shared" ref="N141:N142" si="47">SUM(B141:M141)</f>
        <v>4419.75</v>
      </c>
    </row>
    <row r="142" spans="1:16" x14ac:dyDescent="0.25">
      <c r="A142" s="8" t="s">
        <v>231</v>
      </c>
      <c r="B142" s="22"/>
      <c r="C142" s="22"/>
      <c r="D142" s="22"/>
      <c r="E142" s="22"/>
      <c r="F142" s="22"/>
      <c r="G142" s="22"/>
      <c r="H142" s="22"/>
      <c r="I142" s="21">
        <v>353.04</v>
      </c>
      <c r="J142" s="22">
        <v>408.79</v>
      </c>
      <c r="K142" s="21">
        <v>427.37</v>
      </c>
      <c r="L142" s="21">
        <v>408.79</v>
      </c>
      <c r="M142" s="21">
        <v>260.14</v>
      </c>
      <c r="N142" s="24">
        <f t="shared" si="47"/>
        <v>1858.13</v>
      </c>
    </row>
    <row r="143" spans="1:16" x14ac:dyDescent="0.25">
      <c r="A143" s="29" t="s">
        <v>232</v>
      </c>
      <c r="B143" s="25">
        <f>SUM(B139:B142)</f>
        <v>6596</v>
      </c>
      <c r="C143" s="25">
        <f t="shared" ref="C143:F143" si="48">SUM(C139:C142)</f>
        <v>6640.8</v>
      </c>
      <c r="D143" s="25">
        <f t="shared" si="48"/>
        <v>6764.8</v>
      </c>
      <c r="E143" s="25">
        <f t="shared" si="48"/>
        <v>6832</v>
      </c>
      <c r="F143" s="25">
        <f t="shared" si="48"/>
        <v>7324.8</v>
      </c>
      <c r="G143" s="25">
        <f>SUM(G139:G142)</f>
        <v>7396</v>
      </c>
      <c r="H143" s="25">
        <f t="shared" ref="H143:J143" si="49">SUM(H139:H142)</f>
        <v>7893.6</v>
      </c>
      <c r="I143" s="25">
        <f t="shared" si="49"/>
        <v>9500.7800000000007</v>
      </c>
      <c r="J143" s="25">
        <f t="shared" si="49"/>
        <v>8786.94</v>
      </c>
      <c r="K143" s="25">
        <f>SUM(K139:K142)</f>
        <v>9492.9000000000015</v>
      </c>
      <c r="L143" s="25">
        <f t="shared" ref="L143:N143" si="50">SUM(L139:L142)</f>
        <v>8885.7400000000016</v>
      </c>
      <c r="M143" s="25">
        <f t="shared" si="50"/>
        <v>8662.7199999999993</v>
      </c>
      <c r="N143" s="25">
        <f t="shared" si="50"/>
        <v>94777.08</v>
      </c>
    </row>
    <row r="144" spans="1:16" x14ac:dyDescent="0.25">
      <c r="A144" s="76" t="s">
        <v>233</v>
      </c>
      <c r="B144" s="77">
        <v>1256</v>
      </c>
      <c r="C144" s="77">
        <v>1345</v>
      </c>
      <c r="D144" s="77">
        <v>1423</v>
      </c>
      <c r="E144" s="77">
        <v>1767</v>
      </c>
      <c r="F144" s="77">
        <v>1723</v>
      </c>
      <c r="G144" s="77">
        <v>1556</v>
      </c>
      <c r="H144" s="77">
        <v>1108</v>
      </c>
      <c r="I144" s="77">
        <v>1034</v>
      </c>
      <c r="J144" s="77">
        <v>887</v>
      </c>
      <c r="K144" s="77">
        <v>866</v>
      </c>
      <c r="L144" s="77">
        <v>823</v>
      </c>
      <c r="M144" s="77">
        <v>712</v>
      </c>
      <c r="N144" s="77">
        <f>SUM(B144:M144)</f>
        <v>14500</v>
      </c>
    </row>
    <row r="145" spans="1:14" x14ac:dyDescent="0.25">
      <c r="A145" s="8" t="s">
        <v>83</v>
      </c>
      <c r="B145" s="25">
        <f>B129+B133+B137+B143+B144</f>
        <v>14718.599999999999</v>
      </c>
      <c r="C145" s="25">
        <f t="shared" ref="C145:F145" si="51">C129+C133+C137+C143+C144</f>
        <v>15155.880000000001</v>
      </c>
      <c r="D145" s="25">
        <f t="shared" si="51"/>
        <v>15626.2</v>
      </c>
      <c r="E145" s="25">
        <f t="shared" si="51"/>
        <v>18015.510000000002</v>
      </c>
      <c r="F145" s="25">
        <f t="shared" si="51"/>
        <v>18777.11</v>
      </c>
      <c r="G145" s="25">
        <f>G129+G133+G137+G143+G144</f>
        <v>19346.3</v>
      </c>
      <c r="H145" s="25">
        <f t="shared" ref="H145:J145" si="52">H129+H133+H137+H143+H144</f>
        <v>18511.32</v>
      </c>
      <c r="I145" s="25">
        <f t="shared" si="52"/>
        <v>21817.489999999998</v>
      </c>
      <c r="J145" s="25">
        <f t="shared" si="52"/>
        <v>21429.410000000003</v>
      </c>
      <c r="K145" s="25">
        <f>K129+K133+K137+K143+K144</f>
        <v>22421.52</v>
      </c>
      <c r="L145" s="25">
        <f t="shared" ref="L145:M145" si="53">L129+L133+L137+L143+L144</f>
        <v>20866.920000000002</v>
      </c>
      <c r="M145" s="25">
        <f t="shared" si="53"/>
        <v>20125.099999999999</v>
      </c>
      <c r="N145" s="25">
        <f>N129+N133+N137+N143+N144</f>
        <v>226811.36000000002</v>
      </c>
    </row>
    <row r="146" spans="1:14" x14ac:dyDescent="0.25">
      <c r="A146" s="29" t="s">
        <v>84</v>
      </c>
      <c r="B146" s="25">
        <f t="shared" ref="B146:N146" si="54">B23-B145</f>
        <v>7430.6200000000026</v>
      </c>
      <c r="C146" s="25">
        <f t="shared" si="54"/>
        <v>11506.350000000002</v>
      </c>
      <c r="D146" s="25">
        <f t="shared" si="54"/>
        <v>7280.2900000000009</v>
      </c>
      <c r="E146" s="25">
        <f t="shared" si="54"/>
        <v>5245.5500000000029</v>
      </c>
      <c r="F146" s="25">
        <f t="shared" si="54"/>
        <v>10436.420000000002</v>
      </c>
      <c r="G146" s="25">
        <f t="shared" si="54"/>
        <v>6154.5800000000017</v>
      </c>
      <c r="H146" s="25">
        <f t="shared" si="54"/>
        <v>6246.1000000000058</v>
      </c>
      <c r="I146" s="25">
        <f t="shared" si="54"/>
        <v>8691.7300000000032</v>
      </c>
      <c r="J146" s="25">
        <f t="shared" si="54"/>
        <v>10209.169999999998</v>
      </c>
      <c r="K146" s="25">
        <f t="shared" si="54"/>
        <v>10828.360000000004</v>
      </c>
      <c r="L146" s="25">
        <f t="shared" si="54"/>
        <v>13765.750000000004</v>
      </c>
      <c r="M146" s="25">
        <f t="shared" si="54"/>
        <v>11158.540000000005</v>
      </c>
      <c r="N146" s="25">
        <f t="shared" si="54"/>
        <v>108953.45999999999</v>
      </c>
    </row>
    <row r="147" spans="1:14" x14ac:dyDescent="0.25">
      <c r="A147" s="29" t="s">
        <v>85</v>
      </c>
      <c r="B147" s="16">
        <f t="shared" ref="B147:N147" si="55">B146/B23</f>
        <v>0.33547998529970818</v>
      </c>
      <c r="C147" s="16">
        <f t="shared" si="55"/>
        <v>0.43155992578265212</v>
      </c>
      <c r="D147" s="16">
        <f t="shared" si="55"/>
        <v>0.31782651990767685</v>
      </c>
      <c r="E147" s="16">
        <f t="shared" si="55"/>
        <v>0.22550777995499782</v>
      </c>
      <c r="F147" s="16">
        <f t="shared" si="55"/>
        <v>0.35724611164758252</v>
      </c>
      <c r="G147" s="16">
        <f t="shared" si="55"/>
        <v>0.24134774956785812</v>
      </c>
      <c r="H147" s="16">
        <f t="shared" si="55"/>
        <v>0.25229204012372874</v>
      </c>
      <c r="I147" s="16">
        <f t="shared" si="55"/>
        <v>0.28488863366549533</v>
      </c>
      <c r="J147" s="16">
        <f t="shared" si="55"/>
        <v>0.32268104320737523</v>
      </c>
      <c r="K147" s="16">
        <f t="shared" si="55"/>
        <v>0.32566613774245207</v>
      </c>
      <c r="L147" s="16">
        <f t="shared" si="55"/>
        <v>0.39747873900568453</v>
      </c>
      <c r="M147" s="16">
        <f t="shared" si="55"/>
        <v>0.35668931109039753</v>
      </c>
      <c r="N147" s="16">
        <f t="shared" si="55"/>
        <v>0.32449337604815176</v>
      </c>
    </row>
  </sheetData>
  <sheetProtection algorithmName="SHA-512" hashValue="h4Kh5ZTj6XKjnGJU2oKotyxnuANaRKavhoQUZj2uaxGQNR/RdBPJsl8TeuQBqGS6RMfG6Yo4rUapvrMlS1Pqgw==" saltValue="p/6ldR4GcJR2x0ciJu95LQ==" spinCount="100000" sheet="1" objects="1" scenarios="1"/>
  <mergeCells count="3">
    <mergeCell ref="A1:N1"/>
    <mergeCell ref="A2:N2"/>
    <mergeCell ref="A123:N12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E49B1B6CD66F478903CE867A080686" ma:contentTypeVersion="15" ma:contentTypeDescription="Create a new document." ma:contentTypeScope="" ma:versionID="bf16ab54af93f66c034e5d83c98e89b1">
  <xsd:schema xmlns:xsd="http://www.w3.org/2001/XMLSchema" xmlns:xs="http://www.w3.org/2001/XMLSchema" xmlns:p="http://schemas.microsoft.com/office/2006/metadata/properties" xmlns:ns2="8ba1e6a2-84cd-4a33-9b85-fe41ea876599" xmlns:ns3="2e35ebcd-4537-48ad-bfb6-49619c10d153" targetNamespace="http://schemas.microsoft.com/office/2006/metadata/properties" ma:root="true" ma:fieldsID="86746352df0f24913dabf0c6ae391bbb" ns2:_="" ns3:_="">
    <xsd:import namespace="8ba1e6a2-84cd-4a33-9b85-fe41ea876599"/>
    <xsd:import namespace="2e35ebcd-4537-48ad-bfb6-49619c10d1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a1e6a2-84cd-4a33-9b85-fe41ea8765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372e2998-82a8-4d98-ae4b-1f38996a48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35ebcd-4537-48ad-bfb6-49619c10d15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ce04e80-5c3b-4c6e-8e59-298e2d49b0cc}" ma:internalName="TaxCatchAll" ma:showField="CatchAllData" ma:web="2e35ebcd-4537-48ad-bfb6-49619c10d1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ba1e6a2-84cd-4a33-9b85-fe41ea876599">
      <Terms xmlns="http://schemas.microsoft.com/office/infopath/2007/PartnerControls"/>
    </lcf76f155ced4ddcb4097134ff3c332f>
    <TaxCatchAll xmlns="2e35ebcd-4537-48ad-bfb6-49619c10d153" xsi:nil="true"/>
    <SharedWithUsers xmlns="2e35ebcd-4537-48ad-bfb6-49619c10d153">
      <UserInfo>
        <DisplayName>Brittany Cotter</DisplayName>
        <AccountId>13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9F5F12E6-AA48-4BFC-8515-37DAEB84B7E6}"/>
</file>

<file path=customXml/itemProps2.xml><?xml version="1.0" encoding="utf-8"?>
<ds:datastoreItem xmlns:ds="http://schemas.openxmlformats.org/officeDocument/2006/customXml" ds:itemID="{2BFF5ED1-DE9D-4167-BD01-683B478A981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47B411-6F1C-46AF-AD31-E199045950B2}">
  <ds:schemaRefs>
    <ds:schemaRef ds:uri="http://schemas.microsoft.com/office/2006/metadata/properties"/>
    <ds:schemaRef ds:uri="http://schemas.microsoft.com/office/infopath/2007/PartnerControls"/>
    <ds:schemaRef ds:uri="6bab29a1-b5c3-4932-9b83-0a44a16d990b"/>
    <ds:schemaRef ds:uri="78585203-8ba4-4b45-ab54-6aba751222cf"/>
    <ds:schemaRef ds:uri="8ba1e6a2-84cd-4a33-9b85-fe41ea876599"/>
    <ds:schemaRef ds:uri="2e35ebcd-4537-48ad-bfb6-49619c10d15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TTM Serv </vt:lpstr>
      <vt:lpstr>ProForma Serv</vt:lpstr>
      <vt:lpstr>TTM Prod </vt:lpstr>
      <vt:lpstr>ProForma Prod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Steve Fisher</dc:creator>
  <cp:keywords/>
  <dc:description/>
  <cp:lastModifiedBy>Kim Dudas</cp:lastModifiedBy>
  <cp:revision/>
  <dcterms:created xsi:type="dcterms:W3CDTF">2023-02-15T22:30:36Z</dcterms:created>
  <dcterms:modified xsi:type="dcterms:W3CDTF">2023-10-13T17:49:40Z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0x010100B6E49B1B6CD66F478903CE867A080686</vt:lpwstr>
  </property>
  <property fmtid="{D5CDD505-2E9C-101B-9397-08002B2CF9AE}" pid="3" name="MediaServiceImageTags">
    <vt:lpwstr/>
  </property>
</Properties>
</file>