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kootenaypeaks-my.sharepoint.com/personal/kim_bbaprogram_ca/Documents/Documents/FLP Spring 2025 Drafts/Session 1 Resources/"/>
    </mc:Choice>
  </mc:AlternateContent>
  <xr:revisionPtr revIDLastSave="3" documentId="8_{8DADF25B-C0D4-42BB-B507-C9A15B6B94FF}" xr6:coauthVersionLast="47" xr6:coauthVersionMax="47" xr10:uidLastSave="{3FBAD607-AD12-4A06-9651-F74D7491F89F}"/>
  <bookViews>
    <workbookView xWindow="1536" yWindow="1536" windowWidth="17280" windowHeight="8880" activeTab="2" xr2:uid="{B56A38D6-88CB-4CEE-AEF6-D02F69D9E971}"/>
  </bookViews>
  <sheets>
    <sheet name="Balance Sheet" sheetId="3" r:id="rId1"/>
    <sheet name="Annual P&amp;L " sheetId="5" r:id="rId2"/>
    <sheet name="TTM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5" l="1"/>
  <c r="N43" i="5"/>
  <c r="M43" i="5"/>
  <c r="L43" i="5"/>
  <c r="K43" i="5"/>
  <c r="J43" i="5"/>
  <c r="I43" i="5"/>
  <c r="H43" i="5"/>
  <c r="G43" i="5"/>
  <c r="F43" i="5"/>
  <c r="E43" i="5"/>
  <c r="D43" i="5"/>
  <c r="C43" i="5"/>
  <c r="O43" i="5" s="1"/>
  <c r="N42" i="5"/>
  <c r="M42" i="5"/>
  <c r="L42" i="5"/>
  <c r="K42" i="5"/>
  <c r="J42" i="5"/>
  <c r="I42" i="5"/>
  <c r="H42" i="5"/>
  <c r="G42" i="5"/>
  <c r="F42" i="5"/>
  <c r="E42" i="5"/>
  <c r="D42" i="5"/>
  <c r="C42" i="5"/>
  <c r="O42" i="5" s="1"/>
  <c r="N41" i="5"/>
  <c r="N44" i="5" s="1"/>
  <c r="M41" i="5"/>
  <c r="M44" i="5" s="1"/>
  <c r="L41" i="5"/>
  <c r="L44" i="5" s="1"/>
  <c r="K41" i="5"/>
  <c r="K44" i="5" s="1"/>
  <c r="J41" i="5"/>
  <c r="J44" i="5" s="1"/>
  <c r="I41" i="5"/>
  <c r="I44" i="5" s="1"/>
  <c r="H41" i="5"/>
  <c r="H44" i="5" s="1"/>
  <c r="G41" i="5"/>
  <c r="G44" i="5" s="1"/>
  <c r="F41" i="5"/>
  <c r="F44" i="5" s="1"/>
  <c r="E41" i="5"/>
  <c r="E44" i="5" s="1"/>
  <c r="D41" i="5"/>
  <c r="D44" i="5" s="1"/>
  <c r="C41" i="5"/>
  <c r="O38" i="5"/>
  <c r="N37" i="5"/>
  <c r="M37" i="5"/>
  <c r="L37" i="5"/>
  <c r="K37" i="5"/>
  <c r="J37" i="5"/>
  <c r="I37" i="5"/>
  <c r="H37" i="5"/>
  <c r="G37" i="5"/>
  <c r="F37" i="5"/>
  <c r="E37" i="5"/>
  <c r="D37" i="5"/>
  <c r="C37" i="5"/>
  <c r="O37" i="5" s="1"/>
  <c r="N36" i="5"/>
  <c r="M36" i="5"/>
  <c r="L36" i="5"/>
  <c r="K36" i="5"/>
  <c r="J36" i="5"/>
  <c r="I36" i="5"/>
  <c r="H36" i="5"/>
  <c r="G36" i="5"/>
  <c r="F36" i="5"/>
  <c r="E36" i="5"/>
  <c r="D36" i="5"/>
  <c r="C36" i="5"/>
  <c r="O36" i="5" s="1"/>
  <c r="N35" i="5"/>
  <c r="M35" i="5"/>
  <c r="L35" i="5"/>
  <c r="K35" i="5"/>
  <c r="J35" i="5"/>
  <c r="I35" i="5"/>
  <c r="H35" i="5"/>
  <c r="G35" i="5"/>
  <c r="F35" i="5"/>
  <c r="E35" i="5"/>
  <c r="D35" i="5"/>
  <c r="C35" i="5"/>
  <c r="O35" i="5" s="1"/>
  <c r="O34" i="5"/>
  <c r="N33" i="5"/>
  <c r="M33" i="5"/>
  <c r="L33" i="5"/>
  <c r="K33" i="5"/>
  <c r="J33" i="5"/>
  <c r="I33" i="5"/>
  <c r="H33" i="5"/>
  <c r="G33" i="5"/>
  <c r="F33" i="5"/>
  <c r="E33" i="5"/>
  <c r="D33" i="5"/>
  <c r="C33" i="5"/>
  <c r="O33" i="5" s="1"/>
  <c r="N32" i="5"/>
  <c r="M32" i="5"/>
  <c r="L32" i="5"/>
  <c r="K32" i="5"/>
  <c r="J32" i="5"/>
  <c r="I32" i="5"/>
  <c r="H32" i="5"/>
  <c r="G32" i="5"/>
  <c r="F32" i="5"/>
  <c r="E32" i="5"/>
  <c r="D32" i="5"/>
  <c r="C32" i="5"/>
  <c r="O32" i="5" s="1"/>
  <c r="N30" i="5"/>
  <c r="M30" i="5"/>
  <c r="L30" i="5"/>
  <c r="K30" i="5"/>
  <c r="K31" i="5" s="1"/>
  <c r="J30" i="5"/>
  <c r="J31" i="5" s="1"/>
  <c r="I30" i="5"/>
  <c r="H30" i="5"/>
  <c r="G30" i="5"/>
  <c r="G31" i="5" s="1"/>
  <c r="F30" i="5"/>
  <c r="F31" i="5" s="1"/>
  <c r="E30" i="5"/>
  <c r="D30" i="5"/>
  <c r="C30" i="5"/>
  <c r="O30" i="5" s="1"/>
  <c r="N29" i="5"/>
  <c r="N31" i="5" s="1"/>
  <c r="M29" i="5"/>
  <c r="M31" i="5" s="1"/>
  <c r="L29" i="5"/>
  <c r="L31" i="5" s="1"/>
  <c r="I29" i="5"/>
  <c r="I31" i="5" s="1"/>
  <c r="H29" i="5"/>
  <c r="H31" i="5" s="1"/>
  <c r="E29" i="5"/>
  <c r="E31" i="5" s="1"/>
  <c r="D29" i="5"/>
  <c r="D31" i="5" s="1"/>
  <c r="C29" i="5"/>
  <c r="P28" i="5"/>
  <c r="O28" i="5"/>
  <c r="N27" i="5"/>
  <c r="M27" i="5"/>
  <c r="L27" i="5"/>
  <c r="K27" i="5"/>
  <c r="J27" i="5"/>
  <c r="I27" i="5"/>
  <c r="H27" i="5"/>
  <c r="G27" i="5"/>
  <c r="F27" i="5"/>
  <c r="E27" i="5"/>
  <c r="D27" i="5"/>
  <c r="C27" i="5"/>
  <c r="O27" i="5" s="1"/>
  <c r="N26" i="5"/>
  <c r="M26" i="5"/>
  <c r="L26" i="5"/>
  <c r="K26" i="5"/>
  <c r="J26" i="5"/>
  <c r="I26" i="5"/>
  <c r="H26" i="5"/>
  <c r="G26" i="5"/>
  <c r="F26" i="5"/>
  <c r="E26" i="5"/>
  <c r="D26" i="5"/>
  <c r="C26" i="5"/>
  <c r="O26" i="5" s="1"/>
  <c r="N25" i="5"/>
  <c r="M25" i="5"/>
  <c r="L25" i="5"/>
  <c r="K25" i="5"/>
  <c r="J25" i="5"/>
  <c r="I25" i="5"/>
  <c r="H25" i="5"/>
  <c r="G25" i="5"/>
  <c r="F25" i="5"/>
  <c r="E25" i="5"/>
  <c r="D25" i="5"/>
  <c r="C25" i="5"/>
  <c r="O25" i="5" s="1"/>
  <c r="J24" i="5"/>
  <c r="I24" i="5"/>
  <c r="O24" i="5" s="1"/>
  <c r="O23" i="5"/>
  <c r="N22" i="5"/>
  <c r="M22" i="5"/>
  <c r="L22" i="5"/>
  <c r="K22" i="5"/>
  <c r="J22" i="5"/>
  <c r="I22" i="5"/>
  <c r="H22" i="5"/>
  <c r="G22" i="5"/>
  <c r="F22" i="5"/>
  <c r="E22" i="5"/>
  <c r="D22" i="5"/>
  <c r="C22" i="5"/>
  <c r="O22" i="5" s="1"/>
  <c r="P21" i="5"/>
  <c r="P39" i="5" s="1"/>
  <c r="O21" i="5"/>
  <c r="N20" i="5"/>
  <c r="N39" i="5" s="1"/>
  <c r="M20" i="5"/>
  <c r="M39" i="5" s="1"/>
  <c r="L20" i="5"/>
  <c r="L39" i="5" s="1"/>
  <c r="K20" i="5"/>
  <c r="K39" i="5" s="1"/>
  <c r="J20" i="5"/>
  <c r="J39" i="5" s="1"/>
  <c r="I20" i="5"/>
  <c r="I39" i="5" s="1"/>
  <c r="H20" i="5"/>
  <c r="H39" i="5" s="1"/>
  <c r="G20" i="5"/>
  <c r="G39" i="5" s="1"/>
  <c r="F20" i="5"/>
  <c r="F39" i="5" s="1"/>
  <c r="E20" i="5"/>
  <c r="E39" i="5" s="1"/>
  <c r="D20" i="5"/>
  <c r="D39" i="5" s="1"/>
  <c r="C20" i="5"/>
  <c r="O19" i="5"/>
  <c r="N13" i="5"/>
  <c r="M13" i="5"/>
  <c r="L13" i="5"/>
  <c r="L14" i="5" s="1"/>
  <c r="K13" i="5"/>
  <c r="K14" i="5" s="1"/>
  <c r="J13" i="5"/>
  <c r="E13" i="5"/>
  <c r="D13" i="5"/>
  <c r="C13" i="5"/>
  <c r="O13" i="5" s="1"/>
  <c r="P12" i="5"/>
  <c r="O12" i="5"/>
  <c r="N11" i="5"/>
  <c r="N14" i="5" s="1"/>
  <c r="M11" i="5"/>
  <c r="M14" i="5" s="1"/>
  <c r="J11" i="5"/>
  <c r="J14" i="5" s="1"/>
  <c r="I11" i="5"/>
  <c r="I14" i="5" s="1"/>
  <c r="H11" i="5"/>
  <c r="H14" i="5" s="1"/>
  <c r="G11" i="5"/>
  <c r="G14" i="5" s="1"/>
  <c r="F11" i="5"/>
  <c r="F14" i="5" s="1"/>
  <c r="E11" i="5"/>
  <c r="E14" i="5" s="1"/>
  <c r="D11" i="5"/>
  <c r="D14" i="5" s="1"/>
  <c r="C11" i="5"/>
  <c r="O10" i="5"/>
  <c r="P10" i="5" s="1"/>
  <c r="P14" i="5" s="1"/>
  <c r="P7" i="5"/>
  <c r="N7" i="5"/>
  <c r="M7" i="5"/>
  <c r="L7" i="5"/>
  <c r="K7" i="5"/>
  <c r="J7" i="5"/>
  <c r="I7" i="5"/>
  <c r="H7" i="5"/>
  <c r="G7" i="5"/>
  <c r="F7" i="5"/>
  <c r="E7" i="5"/>
  <c r="D7" i="5"/>
  <c r="N6" i="5"/>
  <c r="N15" i="5" s="1"/>
  <c r="M6" i="5"/>
  <c r="M15" i="5" s="1"/>
  <c r="L6" i="5"/>
  <c r="L15" i="5" s="1"/>
  <c r="K6" i="5"/>
  <c r="K15" i="5" s="1"/>
  <c r="J6" i="5"/>
  <c r="J15" i="5" s="1"/>
  <c r="I6" i="5"/>
  <c r="I15" i="5" s="1"/>
  <c r="H6" i="5"/>
  <c r="H15" i="5" s="1"/>
  <c r="G6" i="5"/>
  <c r="G15" i="5" s="1"/>
  <c r="F6" i="5"/>
  <c r="F15" i="5" s="1"/>
  <c r="E6" i="5"/>
  <c r="E15" i="5" s="1"/>
  <c r="D6" i="5"/>
  <c r="D15" i="5" s="1"/>
  <c r="C6" i="5"/>
  <c r="P5" i="5"/>
  <c r="P6" i="5" s="1"/>
  <c r="P15" i="5" s="1"/>
  <c r="O5" i="5"/>
  <c r="O4" i="5"/>
  <c r="O4" i="4"/>
  <c r="O5" i="4"/>
  <c r="P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O10" i="4"/>
  <c r="P10" i="4"/>
  <c r="C11" i="4"/>
  <c r="D11" i="4"/>
  <c r="E11" i="4"/>
  <c r="F11" i="4"/>
  <c r="G11" i="4"/>
  <c r="H11" i="4"/>
  <c r="I11" i="4"/>
  <c r="J11" i="4"/>
  <c r="M11" i="4"/>
  <c r="N11" i="4"/>
  <c r="O11" i="4"/>
  <c r="O12" i="4"/>
  <c r="P12" i="4"/>
  <c r="C13" i="4"/>
  <c r="D13" i="4"/>
  <c r="E13" i="4"/>
  <c r="J13" i="4"/>
  <c r="K13" i="4"/>
  <c r="L13" i="4"/>
  <c r="M13" i="4"/>
  <c r="N13" i="4"/>
  <c r="O13" i="4"/>
  <c r="C14" i="4"/>
  <c r="D14" i="4"/>
  <c r="E14" i="4"/>
  <c r="F14" i="4"/>
  <c r="G14" i="4"/>
  <c r="H14" i="4"/>
  <c r="I14" i="4"/>
  <c r="J14" i="4"/>
  <c r="K14" i="4"/>
  <c r="L14" i="4"/>
  <c r="M14" i="4"/>
  <c r="N14" i="4"/>
  <c r="P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O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O21" i="4"/>
  <c r="P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O23" i="4"/>
  <c r="I24" i="4"/>
  <c r="J24" i="4"/>
  <c r="O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O28" i="4"/>
  <c r="P28" i="4"/>
  <c r="C29" i="4"/>
  <c r="D29" i="4"/>
  <c r="E29" i="4"/>
  <c r="H29" i="4"/>
  <c r="I29" i="4"/>
  <c r="L29" i="4"/>
  <c r="M29" i="4"/>
  <c r="N29" i="4"/>
  <c r="O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O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O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C47" i="4"/>
  <c r="D47" i="4"/>
  <c r="E47" i="4"/>
  <c r="F47" i="4"/>
  <c r="G47" i="4"/>
  <c r="H47" i="4"/>
  <c r="I47" i="4"/>
  <c r="J47" i="4"/>
  <c r="K47" i="4"/>
  <c r="L47" i="4"/>
  <c r="M47" i="4"/>
  <c r="N47" i="4"/>
  <c r="P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C47" i="3"/>
  <c r="I38" i="3"/>
  <c r="C39" i="3"/>
  <c r="C33" i="3"/>
  <c r="C41" i="3" s="1"/>
  <c r="I15" i="3"/>
  <c r="C19" i="3"/>
  <c r="C21" i="3"/>
  <c r="C11" i="3"/>
  <c r="P16" i="5" l="1"/>
  <c r="O6" i="5"/>
  <c r="O15" i="5" s="1"/>
  <c r="D16" i="5"/>
  <c r="E16" i="5"/>
  <c r="F16" i="5"/>
  <c r="G16" i="5"/>
  <c r="H16" i="5"/>
  <c r="I16" i="5"/>
  <c r="J16" i="5"/>
  <c r="K16" i="5"/>
  <c r="L16" i="5"/>
  <c r="M16" i="5"/>
  <c r="N16" i="5"/>
  <c r="C14" i="5"/>
  <c r="C15" i="5" s="1"/>
  <c r="O11" i="5"/>
  <c r="O20" i="5"/>
  <c r="D48" i="5"/>
  <c r="D45" i="5"/>
  <c r="D46" i="5" s="1"/>
  <c r="D47" i="5" s="1"/>
  <c r="E48" i="5"/>
  <c r="E45" i="5"/>
  <c r="E46" i="5" s="1"/>
  <c r="E47" i="5" s="1"/>
  <c r="F48" i="5"/>
  <c r="F45" i="5"/>
  <c r="F46" i="5" s="1"/>
  <c r="F47" i="5" s="1"/>
  <c r="G48" i="5"/>
  <c r="G45" i="5"/>
  <c r="G46" i="5" s="1"/>
  <c r="G47" i="5" s="1"/>
  <c r="H48" i="5"/>
  <c r="H45" i="5"/>
  <c r="H46" i="5" s="1"/>
  <c r="H47" i="5" s="1"/>
  <c r="I48" i="5"/>
  <c r="I45" i="5"/>
  <c r="I46" i="5" s="1"/>
  <c r="I47" i="5" s="1"/>
  <c r="J48" i="5"/>
  <c r="J45" i="5"/>
  <c r="J46" i="5" s="1"/>
  <c r="J47" i="5" s="1"/>
  <c r="K48" i="5"/>
  <c r="K45" i="5"/>
  <c r="K46" i="5" s="1"/>
  <c r="K47" i="5" s="1"/>
  <c r="L48" i="5"/>
  <c r="L45" i="5"/>
  <c r="L46" i="5" s="1"/>
  <c r="L47" i="5" s="1"/>
  <c r="M48" i="5"/>
  <c r="M45" i="5"/>
  <c r="M46" i="5" s="1"/>
  <c r="M47" i="5" s="1"/>
  <c r="N48" i="5"/>
  <c r="N45" i="5"/>
  <c r="N46" i="5" s="1"/>
  <c r="N47" i="5" s="1"/>
  <c r="P48" i="5"/>
  <c r="P45" i="5"/>
  <c r="P46" i="5" s="1"/>
  <c r="P47" i="5" s="1"/>
  <c r="C31" i="5"/>
  <c r="O29" i="5"/>
  <c r="C44" i="5"/>
  <c r="O41" i="5"/>
  <c r="O44" i="5" s="1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C23" i="3"/>
  <c r="G15" i="3"/>
  <c r="K15" i="3"/>
  <c r="C49" i="3"/>
  <c r="G38" i="3"/>
  <c r="K38" i="3"/>
  <c r="O31" i="5" l="1"/>
  <c r="C39" i="5"/>
  <c r="O39" i="5"/>
  <c r="C16" i="5"/>
  <c r="O16" i="5"/>
  <c r="O48" i="5" l="1"/>
  <c r="O45" i="5"/>
  <c r="O46" i="5" s="1"/>
  <c r="O7" i="5"/>
  <c r="C48" i="5"/>
  <c r="C45" i="5"/>
  <c r="C46" i="5" s="1"/>
  <c r="C47" i="5" s="1"/>
  <c r="C7" i="5"/>
</calcChain>
</file>

<file path=xl/sharedStrings.xml><?xml version="1.0" encoding="utf-8"?>
<sst xmlns="http://schemas.openxmlformats.org/spreadsheetml/2006/main" count="161" uniqueCount="99">
  <si>
    <t>Assets</t>
  </si>
  <si>
    <t>Current Assets</t>
  </si>
  <si>
    <t>Cash &amp; Bank Accounts (CIBC Chequing)</t>
  </si>
  <si>
    <t>Cash &amp; Bank Accounts (CIBC Savings)</t>
  </si>
  <si>
    <t xml:space="preserve">Accounts Receivable </t>
  </si>
  <si>
    <t xml:space="preserve">Inventory (Hot Tubs, Accessories, Parts) </t>
  </si>
  <si>
    <t xml:space="preserve">Prepaid Expenses </t>
  </si>
  <si>
    <r>
      <t>Total Current Assets</t>
    </r>
    <r>
      <rPr>
        <sz val="11"/>
        <color theme="1"/>
        <rFont val="Arial"/>
        <family val="2"/>
      </rPr>
      <t xml:space="preserve"> </t>
    </r>
  </si>
  <si>
    <t>Fixed Assets</t>
  </si>
  <si>
    <t xml:space="preserve">Property &amp; Equipment </t>
  </si>
  <si>
    <t>Current Ratio.</t>
  </si>
  <si>
    <t>Furniture and Fixtures</t>
  </si>
  <si>
    <t>/</t>
  </si>
  <si>
    <t xml:space="preserve"> =</t>
  </si>
  <si>
    <t>Trucks &amp; Trailers</t>
  </si>
  <si>
    <t>Computer Equipment</t>
  </si>
  <si>
    <t>Tools</t>
  </si>
  <si>
    <t>Total Property &amp; Equipment</t>
  </si>
  <si>
    <t xml:space="preserve">Less: Accumulated Depreciation </t>
  </si>
  <si>
    <r>
      <t>Net Fixed Assets</t>
    </r>
    <r>
      <rPr>
        <sz val="11"/>
        <color theme="1"/>
        <rFont val="Arial"/>
        <family val="2"/>
      </rPr>
      <t xml:space="preserve"> </t>
    </r>
  </si>
  <si>
    <r>
      <t>Total Assets</t>
    </r>
    <r>
      <rPr>
        <sz val="12"/>
        <color theme="1"/>
        <rFont val="Arial"/>
        <family val="2"/>
      </rPr>
      <t xml:space="preserve"> </t>
    </r>
  </si>
  <si>
    <t>Liabilities</t>
  </si>
  <si>
    <t>Current Liabilities</t>
  </si>
  <si>
    <t xml:space="preserve">Accounts Payable </t>
  </si>
  <si>
    <t xml:space="preserve">Credit Card Liabilities </t>
  </si>
  <si>
    <t>Short-Term Loans (CIBC Loan)</t>
  </si>
  <si>
    <t xml:space="preserve">Taxes Payable </t>
  </si>
  <si>
    <t>Other Current Liabilities</t>
  </si>
  <si>
    <r>
      <t>Total Current Liabilities</t>
    </r>
    <r>
      <rPr>
        <sz val="11"/>
        <color theme="1"/>
        <rFont val="Arial"/>
        <family val="2"/>
      </rPr>
      <t xml:space="preserve"> </t>
    </r>
  </si>
  <si>
    <t>Long-Term Liabilities</t>
  </si>
  <si>
    <t xml:space="preserve">Vehicle Loans </t>
  </si>
  <si>
    <t xml:space="preserve">Loans Owed to Shareholder </t>
  </si>
  <si>
    <t>Debt to Equity Ratio</t>
  </si>
  <si>
    <t>Other Long-Term Liabilities (BDC Loan)</t>
  </si>
  <si>
    <r>
      <t>Total Long-Term Liabilities</t>
    </r>
    <r>
      <rPr>
        <sz val="11"/>
        <color theme="1"/>
        <rFont val="Arial"/>
        <family val="2"/>
      </rPr>
      <t xml:space="preserve"> </t>
    </r>
  </si>
  <si>
    <r>
      <t>Total Liabilities</t>
    </r>
    <r>
      <rPr>
        <sz val="12"/>
        <color theme="1"/>
        <rFont val="Arial"/>
        <family val="2"/>
      </rPr>
      <t xml:space="preserve"> </t>
    </r>
  </si>
  <si>
    <t>Equity</t>
  </si>
  <si>
    <t xml:space="preserve">Owner's Capital </t>
  </si>
  <si>
    <t xml:space="preserve">Retained Earnings </t>
  </si>
  <si>
    <t xml:space="preserve">YTD Net Profit </t>
  </si>
  <si>
    <r>
      <t>Total Equity</t>
    </r>
    <r>
      <rPr>
        <sz val="11"/>
        <color theme="1"/>
        <rFont val="Arial"/>
        <family val="2"/>
      </rPr>
      <t xml:space="preserve"> </t>
    </r>
  </si>
  <si>
    <t xml:space="preserve">Total Liabilities &amp; Equity </t>
  </si>
  <si>
    <r>
      <t>Disclaimer:</t>
    </r>
    <r>
      <rPr>
        <sz val="12"/>
        <color theme="1"/>
        <rFont val="Aptos Narrow"/>
        <family val="2"/>
        <scheme val="minor"/>
      </rPr>
      <t xml:space="preserve"> The data presented in this spreadsheet is for demonstration purposes only. The business and all related information are entirely fictional.</t>
    </r>
  </si>
  <si>
    <t xml:space="preserve">Jan. </t>
  </si>
  <si>
    <t xml:space="preserve">Feb.  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</si>
  <si>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</si>
  <si>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</si>
  <si>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</si>
  <si>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</si>
  <si>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</si>
  <si>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</si>
  <si>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</si>
  <si>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</si>
  <si>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</si>
  <si>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</si>
  <si>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(YTD) Current Year</t>
  </si>
  <si>
    <t>Sales Income (Revenue Centres)</t>
  </si>
  <si>
    <t>Monthly %</t>
  </si>
  <si>
    <t>Sales</t>
  </si>
  <si>
    <t>Total Sales</t>
  </si>
  <si>
    <t xml:space="preserve">BREAK EVEN </t>
  </si>
  <si>
    <t>Cost of Goods (Direct Expenses)</t>
  </si>
  <si>
    <t>Wholesale/Product Costs</t>
  </si>
  <si>
    <t>Freight, Shipping &amp; Truck Mileage</t>
  </si>
  <si>
    <t>Starter Kits &amp; Parts/Materials</t>
  </si>
  <si>
    <t>Subcontractors (Electricians)</t>
  </si>
  <si>
    <t>Total Cost of Goods</t>
  </si>
  <si>
    <t>Gross Profit</t>
  </si>
  <si>
    <t>Gross Margin</t>
  </si>
  <si>
    <t>Expenses (Fixed Costs)</t>
  </si>
  <si>
    <t>Rent</t>
  </si>
  <si>
    <t>Storage &amp; Warehousing</t>
  </si>
  <si>
    <t>Marketing</t>
  </si>
  <si>
    <t>Insurance</t>
  </si>
  <si>
    <t>Utilities</t>
  </si>
  <si>
    <t>Accounting</t>
  </si>
  <si>
    <t>Credit Card Processing Fees</t>
  </si>
  <si>
    <t>Phones</t>
  </si>
  <si>
    <t>Internet</t>
  </si>
  <si>
    <t>Wages (Retail, Technicians, Sales)</t>
  </si>
  <si>
    <t xml:space="preserve">Sales Commissions: </t>
  </si>
  <si>
    <t xml:space="preserve">Owner Salary </t>
  </si>
  <si>
    <t>Payroll &amp; Benefits</t>
  </si>
  <si>
    <t>Vehicles - Payments</t>
  </si>
  <si>
    <t>Vehicles - Insurance</t>
  </si>
  <si>
    <t>Vehicles - Repairs and Maintenance</t>
  </si>
  <si>
    <t>Fuel</t>
  </si>
  <si>
    <t>Administration/Office</t>
  </si>
  <si>
    <t xml:space="preserve">Medical </t>
  </si>
  <si>
    <t>Training (First Aid, Water Care)</t>
  </si>
  <si>
    <t>Total Expenses (Fixed Costs)</t>
  </si>
  <si>
    <t>Other Expenses</t>
  </si>
  <si>
    <t>Depreciation</t>
  </si>
  <si>
    <t>Taxes</t>
  </si>
  <si>
    <t>Interest Expense</t>
  </si>
  <si>
    <t>Total Other Expenses</t>
  </si>
  <si>
    <t xml:space="preserve">TOTAL EXPENSES </t>
  </si>
  <si>
    <t xml:space="preserve">NET PROFIT </t>
  </si>
  <si>
    <t>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</si>
</sst>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theme="1"/>
      <name val="Arial"/>
      <family val="2"/>
    </font>
    <font>
      <b/>
      <sz val="13.5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36"/>
      <color theme="1"/>
      <name val="Arial"/>
      <family val="2"/>
    </font>
    <font>
      <b/>
      <sz val="1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2"/>
      </left>
      <right style="thin">
        <color theme="1"/>
      </right>
      <top style="thin">
        <color theme="2"/>
      </top>
      <bottom style="thin">
        <color theme="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9" xfId="0" applyBorder="1"/>
    <xf numFmtId="0" fontId="0" fillId="0" borderId="10" xfId="0" applyBorder="1"/>
    <xf numFmtId="10" fontId="0" fillId="5" borderId="0" xfId="0" applyNumberFormat="1" applyFill="1"/>
    <xf numFmtId="0" fontId="0" fillId="0" borderId="14" xfId="0" applyBorder="1"/>
    <xf numFmtId="0" fontId="0" fillId="2" borderId="14" xfId="0" applyFill="1" applyBorder="1"/>
    <xf numFmtId="44" fontId="1" fillId="7" borderId="11" xfId="0" applyNumberFormat="1" applyFont="1" applyFill="1" applyBorder="1" applyAlignment="1">
      <alignment horizontal="center"/>
    </xf>
    <xf numFmtId="44" fontId="1" fillId="7" borderId="15" xfId="0" applyNumberFormat="1" applyFont="1" applyFill="1" applyBorder="1" applyAlignment="1">
      <alignment horizontal="center"/>
    </xf>
    <xf numFmtId="0" fontId="0" fillId="2" borderId="1" xfId="0" applyFill="1" applyBorder="1"/>
    <xf numFmtId="44" fontId="0" fillId="2" borderId="17" xfId="0" applyNumberFormat="1" applyFill="1" applyBorder="1" applyAlignment="1">
      <alignment horizontal="center"/>
    </xf>
    <xf numFmtId="44" fontId="1" fillId="2" borderId="17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23" xfId="0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0" xfId="0" applyFont="1"/>
    <xf numFmtId="10" fontId="0" fillId="2" borderId="0" xfId="0" applyNumberFormat="1" applyFill="1" applyAlignment="1">
      <alignment horizontal="center"/>
    </xf>
    <xf numFmtId="10" fontId="1" fillId="2" borderId="0" xfId="0" applyNumberFormat="1" applyFont="1" applyFill="1" applyAlignment="1">
      <alignment horizontal="center"/>
    </xf>
    <xf numFmtId="44" fontId="0" fillId="0" borderId="0" xfId="0" applyNumberForma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8" fillId="0" borderId="0" xfId="0" applyFont="1"/>
    <xf numFmtId="0" fontId="3" fillId="10" borderId="0" xfId="0" applyFont="1" applyFill="1"/>
    <xf numFmtId="0" fontId="0" fillId="10" borderId="0" xfId="0" applyFill="1"/>
    <xf numFmtId="44" fontId="1" fillId="11" borderId="0" xfId="0" applyNumberFormat="1" applyFont="1" applyFill="1"/>
    <xf numFmtId="0" fontId="3" fillId="0" borderId="0" xfId="0" applyFont="1"/>
    <xf numFmtId="0" fontId="9" fillId="11" borderId="0" xfId="0" applyFont="1" applyFill="1"/>
    <xf numFmtId="0" fontId="1" fillId="11" borderId="0" xfId="0" applyFont="1" applyFill="1"/>
    <xf numFmtId="2" fontId="1" fillId="11" borderId="0" xfId="0" applyNumberFormat="1" applyFont="1" applyFill="1"/>
    <xf numFmtId="0" fontId="1" fillId="0" borderId="0" xfId="0" applyFont="1"/>
    <xf numFmtId="44" fontId="1" fillId="0" borderId="0" xfId="0" applyNumberFormat="1" applyFont="1"/>
    <xf numFmtId="0" fontId="10" fillId="0" borderId="0" xfId="0" applyFont="1"/>
    <xf numFmtId="44" fontId="1" fillId="10" borderId="0" xfId="0" applyNumberFormat="1" applyFont="1" applyFill="1"/>
    <xf numFmtId="0" fontId="11" fillId="10" borderId="0" xfId="0" applyFont="1" applyFill="1"/>
    <xf numFmtId="44" fontId="12" fillId="10" borderId="0" xfId="0" applyNumberFormat="1" applyFont="1" applyFill="1"/>
    <xf numFmtId="44" fontId="0" fillId="12" borderId="0" xfId="0" applyNumberFormat="1" applyFill="1"/>
    <xf numFmtId="0" fontId="9" fillId="12" borderId="0" xfId="0" applyFont="1" applyFill="1"/>
    <xf numFmtId="0" fontId="0" fillId="12" borderId="0" xfId="0" applyFill="1"/>
    <xf numFmtId="44" fontId="1" fillId="12" borderId="0" xfId="0" applyNumberFormat="1" applyFont="1" applyFill="1"/>
    <xf numFmtId="0" fontId="1" fillId="12" borderId="0" xfId="0" applyFont="1" applyFill="1"/>
    <xf numFmtId="2" fontId="1" fillId="12" borderId="0" xfId="0" applyNumberFormat="1" applyFont="1" applyFill="1" applyAlignment="1">
      <alignment wrapText="1"/>
    </xf>
    <xf numFmtId="0" fontId="5" fillId="10" borderId="0" xfId="0" applyFont="1" applyFill="1"/>
    <xf numFmtId="0" fontId="1" fillId="2" borderId="0" xfId="0" applyFont="1" applyFill="1"/>
    <xf numFmtId="0" fontId="14" fillId="0" borderId="2" xfId="0" applyFont="1" applyBorder="1" applyAlignment="1">
      <alignment wrapText="1"/>
    </xf>
    <xf numFmtId="0" fontId="0" fillId="2" borderId="3" xfId="0" applyFill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10" borderId="26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5" fillId="5" borderId="26" xfId="0" applyFont="1" applyFill="1" applyBorder="1"/>
    <xf numFmtId="10" fontId="0" fillId="6" borderId="21" xfId="0" applyNumberFormat="1" applyFill="1" applyBorder="1" applyAlignment="1">
      <alignment horizontal="center"/>
    </xf>
    <xf numFmtId="10" fontId="0" fillId="6" borderId="28" xfId="0" applyNumberFormat="1" applyFill="1" applyBorder="1" applyAlignment="1">
      <alignment horizontal="center"/>
    </xf>
    <xf numFmtId="10" fontId="0" fillId="6" borderId="28" xfId="0" applyNumberFormat="1" applyFill="1" applyBorder="1"/>
    <xf numFmtId="0" fontId="1" fillId="0" borderId="26" xfId="0" applyFont="1" applyBorder="1"/>
    <xf numFmtId="164" fontId="0" fillId="2" borderId="29" xfId="0" applyNumberForma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164" fontId="0" fillId="5" borderId="0" xfId="0" applyNumberFormat="1" applyFill="1"/>
    <xf numFmtId="164" fontId="1" fillId="4" borderId="26" xfId="0" applyNumberFormat="1" applyFont="1" applyFill="1" applyBorder="1" applyAlignment="1">
      <alignment horizontal="center"/>
    </xf>
    <xf numFmtId="0" fontId="1" fillId="5" borderId="26" xfId="0" applyFont="1" applyFill="1" applyBorder="1"/>
    <xf numFmtId="164" fontId="1" fillId="5" borderId="18" xfId="0" applyNumberFormat="1" applyFont="1" applyFill="1" applyBorder="1" applyAlignment="1">
      <alignment horizontal="center"/>
    </xf>
    <xf numFmtId="164" fontId="1" fillId="5" borderId="11" xfId="0" applyNumberFormat="1" applyFont="1" applyFill="1" applyBorder="1" applyAlignment="1">
      <alignment horizontal="center"/>
    </xf>
    <xf numFmtId="164" fontId="1" fillId="5" borderId="0" xfId="0" applyNumberFormat="1" applyFont="1" applyFill="1"/>
    <xf numFmtId="164" fontId="1" fillId="5" borderId="26" xfId="0" applyNumberFormat="1" applyFont="1" applyFill="1" applyBorder="1" applyAlignment="1">
      <alignment horizontal="center"/>
    </xf>
    <xf numFmtId="0" fontId="1" fillId="7" borderId="26" xfId="0" applyFont="1" applyFill="1" applyBorder="1"/>
    <xf numFmtId="44" fontId="1" fillId="7" borderId="18" xfId="0" applyNumberFormat="1" applyFont="1" applyFill="1" applyBorder="1" applyAlignment="1">
      <alignment horizontal="center"/>
    </xf>
    <xf numFmtId="44" fontId="1" fillId="7" borderId="26" xfId="0" applyNumberFormat="1" applyFont="1" applyFill="1" applyBorder="1" applyAlignment="1">
      <alignment horizontal="center"/>
    </xf>
    <xf numFmtId="0" fontId="1" fillId="2" borderId="16" xfId="0" applyFont="1" applyFill="1" applyBorder="1"/>
    <xf numFmtId="0" fontId="1" fillId="5" borderId="4" xfId="0" applyFont="1" applyFill="1" applyBorder="1"/>
    <xf numFmtId="0" fontId="0" fillId="0" borderId="18" xfId="0" applyBorder="1"/>
    <xf numFmtId="164" fontId="0" fillId="3" borderId="15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1" fillId="4" borderId="31" xfId="0" applyNumberFormat="1" applyFont="1" applyFill="1" applyBorder="1" applyAlignment="1">
      <alignment horizontal="center"/>
    </xf>
    <xf numFmtId="0" fontId="1" fillId="5" borderId="18" xfId="0" applyFont="1" applyFill="1" applyBorder="1"/>
    <xf numFmtId="164" fontId="0" fillId="5" borderId="11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  <xf numFmtId="0" fontId="1" fillId="13" borderId="26" xfId="0" applyFont="1" applyFill="1" applyBorder="1"/>
    <xf numFmtId="165" fontId="1" fillId="13" borderId="26" xfId="0" applyNumberFormat="1" applyFont="1" applyFill="1" applyBorder="1" applyAlignment="1">
      <alignment horizontal="center"/>
    </xf>
    <xf numFmtId="0" fontId="1" fillId="8" borderId="32" xfId="0" applyFont="1" applyFill="1" applyBorder="1"/>
    <xf numFmtId="10" fontId="1" fillId="8" borderId="11" xfId="0" applyNumberFormat="1" applyFont="1" applyFill="1" applyBorder="1" applyAlignment="1">
      <alignment horizontal="center"/>
    </xf>
    <xf numFmtId="0" fontId="0" fillId="0" borderId="26" xfId="0" applyBorder="1"/>
    <xf numFmtId="164" fontId="0" fillId="2" borderId="18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0" borderId="1" xfId="0" applyNumberFormat="1" applyBorder="1"/>
    <xf numFmtId="0" fontId="0" fillId="0" borderId="19" xfId="0" applyBorder="1"/>
    <xf numFmtId="0" fontId="0" fillId="0" borderId="11" xfId="0" applyBorder="1"/>
    <xf numFmtId="0" fontId="0" fillId="9" borderId="0" xfId="0" applyFill="1"/>
    <xf numFmtId="0" fontId="0" fillId="2" borderId="11" xfId="0" applyFill="1" applyBorder="1"/>
    <xf numFmtId="164" fontId="0" fillId="2" borderId="28" xfId="0" applyNumberFormat="1" applyFill="1" applyBorder="1" applyAlignment="1">
      <alignment horizontal="center"/>
    </xf>
    <xf numFmtId="0" fontId="0" fillId="0" borderId="15" xfId="0" applyBorder="1"/>
    <xf numFmtId="164" fontId="0" fillId="2" borderId="26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0" fontId="1" fillId="5" borderId="20" xfId="0" applyFont="1" applyFill="1" applyBorder="1"/>
    <xf numFmtId="164" fontId="0" fillId="5" borderId="26" xfId="0" applyNumberFormat="1" applyFill="1" applyBorder="1" applyAlignment="1">
      <alignment horizontal="center"/>
    </xf>
    <xf numFmtId="164" fontId="0" fillId="14" borderId="20" xfId="0" applyNumberFormat="1" applyFill="1" applyBorder="1" applyAlignment="1">
      <alignment horizontal="center"/>
    </xf>
    <xf numFmtId="0" fontId="1" fillId="5" borderId="22" xfId="0" applyFont="1" applyFill="1" applyBorder="1"/>
    <xf numFmtId="164" fontId="0" fillId="2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2" borderId="33" xfId="0" applyFill="1" applyBorder="1"/>
    <xf numFmtId="164" fontId="0" fillId="3" borderId="26" xfId="0" applyNumberFormat="1" applyFill="1" applyBorder="1" applyAlignment="1">
      <alignment horizontal="center"/>
    </xf>
    <xf numFmtId="0" fontId="1" fillId="5" borderId="33" xfId="0" applyFont="1" applyFill="1" applyBorder="1"/>
    <xf numFmtId="164" fontId="0" fillId="5" borderId="26" xfId="0" applyNumberFormat="1" applyFill="1" applyBorder="1"/>
    <xf numFmtId="164" fontId="1" fillId="5" borderId="26" xfId="0" applyNumberFormat="1" applyFont="1" applyFill="1" applyBorder="1"/>
    <xf numFmtId="0" fontId="15" fillId="13" borderId="13" xfId="0" applyFont="1" applyFill="1" applyBorder="1"/>
    <xf numFmtId="0" fontId="1" fillId="8" borderId="11" xfId="0" applyFont="1" applyFill="1" applyBorder="1"/>
    <xf numFmtId="10" fontId="1" fillId="8" borderId="13" xfId="0" applyNumberFormat="1" applyFont="1" applyFill="1" applyBorder="1" applyAlignment="1">
      <alignment horizontal="center"/>
    </xf>
    <xf numFmtId="0" fontId="1" fillId="7" borderId="7" xfId="0" applyFont="1" applyFill="1" applyBorder="1"/>
    <xf numFmtId="0" fontId="1" fillId="2" borderId="8" xfId="0" applyFont="1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495300</xdr:colOff>
      <xdr:row>0</xdr:row>
      <xdr:rowOff>676275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7A2948A-556F-40F5-B9B0-6AEA3D7E28B2}"/>
            </a:ext>
          </a:extLst>
        </xdr:cNvPr>
        <xdr:cNvSpPr/>
      </xdr:nvSpPr>
      <xdr:spPr>
        <a:xfrm>
          <a:off x="0" y="0"/>
          <a:ext cx="10582275" cy="676275"/>
        </a:xfrm>
        <a:prstGeom prst="rect">
          <a:avLst/>
        </a:prstGeom>
        <a:solidFill>
          <a:srgbClr val="00629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0</xdr:col>
      <xdr:colOff>2333625</xdr:colOff>
      <xdr:row>0</xdr:row>
      <xdr:rowOff>114300</xdr:rowOff>
    </xdr:from>
    <xdr:to>
      <xdr:col>11</xdr:col>
      <xdr:colOff>0</xdr:colOff>
      <xdr:row>0</xdr:row>
      <xdr:rowOff>561975</xdr:rowOff>
    </xdr:to>
    <xdr:sp macro="" textlink="">
      <xdr:nvSpPr>
        <xdr:cNvPr id="26" name="TextBox 2">
          <a:extLst>
            <a:ext uri="{FF2B5EF4-FFF2-40B4-BE49-F238E27FC236}">
              <a16:creationId xmlns:a16="http://schemas.microsoft.com/office/drawing/2014/main" id="{BD6977E7-AC8C-4286-AEE5-074A19B7B7C3}"/>
            </a:ext>
            <a:ext uri="{147F2762-F138-4A5C-976F-8EAC2B608ADB}">
              <a16:predDERef xmlns:a16="http://schemas.microsoft.com/office/drawing/2014/main" pred="{07A2948A-556F-40F5-B9B0-6AEA3D7E28B2}"/>
            </a:ext>
          </a:extLst>
        </xdr:cNvPr>
        <xdr:cNvSpPr txBox="1"/>
      </xdr:nvSpPr>
      <xdr:spPr>
        <a:xfrm>
          <a:off x="2333625" y="114300"/>
          <a:ext cx="6324600" cy="447675"/>
        </a:xfrm>
        <a:prstGeom prst="rect">
          <a:avLst/>
        </a:prstGeom>
        <a:noFill/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2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Rub a Dub Hot Tub Company Balance Sheet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95250</xdr:rowOff>
    </xdr:from>
    <xdr:to>
      <xdr:col>0</xdr:col>
      <xdr:colOff>695325</xdr:colOff>
      <xdr:row>0</xdr:row>
      <xdr:rowOff>628650</xdr:rowOff>
    </xdr:to>
    <xdr:pic>
      <xdr:nvPicPr>
        <xdr:cNvPr id="27" name="Picture 3">
          <a:extLst>
            <a:ext uri="{FF2B5EF4-FFF2-40B4-BE49-F238E27FC236}">
              <a16:creationId xmlns:a16="http://schemas.microsoft.com/office/drawing/2014/main" id="{9345D995-58EA-4F4D-A33F-08397CB86F8D}"/>
            </a:ext>
            <a:ext uri="{147F2762-F138-4A5C-976F-8EAC2B608ADB}">
              <a16:predDERef xmlns:a16="http://schemas.microsoft.com/office/drawing/2014/main" pred="{BD6977E7-AC8C-4286-AEE5-074A19B7B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69532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9</xdr:row>
      <xdr:rowOff>19050</xdr:rowOff>
    </xdr:from>
    <xdr:to>
      <xdr:col>25</xdr:col>
      <xdr:colOff>209550</xdr:colOff>
      <xdr:row>13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9C4EDE-4190-467C-9827-4D0E937F4287}"/>
            </a:ext>
          </a:extLst>
        </xdr:cNvPr>
        <xdr:cNvSpPr txBox="1"/>
      </xdr:nvSpPr>
      <xdr:spPr>
        <a:xfrm>
          <a:off x="14916150" y="2162175"/>
          <a:ext cx="482917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400" b="1"/>
            <a:t>Gross</a:t>
          </a:r>
          <a:r>
            <a:rPr lang="en-CA" sz="2400" b="1" baseline="0"/>
            <a:t> Profit formula is:</a:t>
          </a:r>
        </a:p>
        <a:p>
          <a:pPr algn="ctr"/>
          <a:r>
            <a:rPr lang="en-CA" sz="1800" b="1"/>
            <a:t>(Total</a:t>
          </a:r>
          <a:r>
            <a:rPr lang="en-CA" sz="1800" b="1" baseline="0"/>
            <a:t> Sales - Total Cost of Goods Sold)</a:t>
          </a:r>
          <a:endParaRPr lang="en-CA" sz="1800" b="1"/>
        </a:p>
      </xdr:txBody>
    </xdr:sp>
    <xdr:clientData/>
  </xdr:twoCellAnchor>
  <xdr:twoCellAnchor>
    <xdr:from>
      <xdr:col>17</xdr:col>
      <xdr:colOff>266700</xdr:colOff>
      <xdr:row>16</xdr:row>
      <xdr:rowOff>47625</xdr:rowOff>
    </xdr:from>
    <xdr:to>
      <xdr:col>23</xdr:col>
      <xdr:colOff>285750</xdr:colOff>
      <xdr:row>20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AC67E43-51B4-4431-A96A-3A5105252708}"/>
            </a:ext>
            <a:ext uri="{147F2762-F138-4A5C-976F-8EAC2B608ADB}">
              <a16:predDERef xmlns:a16="http://schemas.microsoft.com/office/drawing/2014/main" pred="{0E9C4EDE-4190-467C-9827-4D0E937F4287}"/>
            </a:ext>
          </a:extLst>
        </xdr:cNvPr>
        <xdr:cNvSpPr txBox="1"/>
      </xdr:nvSpPr>
      <xdr:spPr>
        <a:xfrm>
          <a:off x="14925675" y="3524250"/>
          <a:ext cx="36766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2400" b="1" i="0">
              <a:solidFill>
                <a:schemeClr val="dk1"/>
              </a:solidFill>
              <a:latin typeface="+mn-lt"/>
              <a:ea typeface="+mn-lt"/>
              <a:cs typeface="+mn-lt"/>
            </a:rPr>
            <a:t>Gross Margin formula is:</a:t>
          </a:r>
          <a:endParaRPr lang="en-US" sz="1800" b="1" i="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 algn="ctr"/>
          <a:r>
            <a:rPr lang="en-US" sz="1800" b="1" i="0">
              <a:solidFill>
                <a:schemeClr val="dk1"/>
              </a:solidFill>
              <a:latin typeface="+mn-lt"/>
              <a:ea typeface="+mn-lt"/>
              <a:cs typeface="+mn-lt"/>
            </a:rPr>
            <a:t> (</a:t>
          </a:r>
          <a:r>
            <a:rPr lang="en-US" sz="1800" b="1" i="0" u="none" strike="noStrike">
              <a:solidFill>
                <a:schemeClr val="dk1"/>
              </a:solidFill>
              <a:latin typeface="Aptos Narrow" panose="020B0004020202020204" pitchFamily="34" charset="0"/>
            </a:rPr>
            <a:t>Gross Profit</a:t>
          </a:r>
          <a:r>
            <a:rPr lang="en-US" sz="1800" b="1" i="0">
              <a:solidFill>
                <a:schemeClr val="dk1"/>
              </a:solidFill>
              <a:latin typeface="+mn-lt"/>
              <a:ea typeface="+mn-lt"/>
              <a:cs typeface="+mn-lt"/>
            </a:rPr>
            <a:t> / Total Revenue) * 100 </a:t>
          </a:r>
        </a:p>
      </xdr:txBody>
    </xdr:sp>
    <xdr:clientData/>
  </xdr:twoCellAnchor>
  <xdr:twoCellAnchor>
    <xdr:from>
      <xdr:col>16</xdr:col>
      <xdr:colOff>66675</xdr:colOff>
      <xdr:row>11</xdr:row>
      <xdr:rowOff>14288</xdr:rowOff>
    </xdr:from>
    <xdr:to>
      <xdr:col>17</xdr:col>
      <xdr:colOff>257175</xdr:colOff>
      <xdr:row>14</xdr:row>
      <xdr:rowOff>66675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DA6D1EE-7145-4D3F-A25C-EF4367F14014}"/>
            </a:ext>
            <a:ext uri="{147F2762-F138-4A5C-976F-8EAC2B608ADB}">
              <a16:predDERef xmlns:a16="http://schemas.microsoft.com/office/drawing/2014/main" pred="{5AC67E43-51B4-4431-A96A-3A5105252708}"/>
            </a:ext>
          </a:extLst>
        </xdr:cNvPr>
        <xdr:cNvCxnSpPr>
          <a:cxnSpLocks/>
          <a:stCxn id="2" idx="1"/>
          <a:extLst>
            <a:ext uri="{5F17804C-33F3-41E3-A699-7DCFA2EF7971}">
              <a16:cxnDERefs xmlns:a16="http://schemas.microsoft.com/office/drawing/2014/main" st="{0E9C4EDE-4190-467C-9827-4D0E937F4287}" end="{00000000-0000-0000-0000-000000000000}"/>
            </a:ext>
          </a:extLst>
        </xdr:cNvCxnSpPr>
      </xdr:nvCxnSpPr>
      <xdr:spPr>
        <a:xfrm flipH="1">
          <a:off x="14116050" y="2538413"/>
          <a:ext cx="800100" cy="623887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247650</xdr:colOff>
      <xdr:row>41</xdr:row>
      <xdr:rowOff>104775</xdr:rowOff>
    </xdr:from>
    <xdr:to>
      <xdr:col>22</xdr:col>
      <xdr:colOff>276225</xdr:colOff>
      <xdr:row>45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F5821A0-D44F-4560-A54B-DBF6168AAEE8}"/>
            </a:ext>
            <a:ext uri="{147F2762-F138-4A5C-976F-8EAC2B608ADB}">
              <a16:predDERef xmlns:a16="http://schemas.microsoft.com/office/drawing/2014/main" pred="{BDA6D1EE-7145-4D3F-A25C-EF4367F14014}"/>
            </a:ext>
          </a:extLst>
        </xdr:cNvPr>
        <xdr:cNvSpPr txBox="1"/>
      </xdr:nvSpPr>
      <xdr:spPr>
        <a:xfrm>
          <a:off x="14906625" y="8343900"/>
          <a:ext cx="307657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400" b="1"/>
            <a:t>Net Profit formula</a:t>
          </a:r>
          <a:r>
            <a:rPr lang="en-CA" sz="2400" b="1" baseline="0"/>
            <a:t> is:</a:t>
          </a:r>
        </a:p>
        <a:p>
          <a:pPr algn="ctr"/>
          <a:r>
            <a:rPr lang="en-CA" sz="1800" b="1" baseline="0"/>
            <a:t>(Gross Profit - Total Expenses)</a:t>
          </a:r>
          <a:endParaRPr lang="en-CA" sz="1800" b="1"/>
        </a:p>
      </xdr:txBody>
    </xdr:sp>
    <xdr:clientData/>
  </xdr:twoCellAnchor>
  <xdr:twoCellAnchor>
    <xdr:from>
      <xdr:col>16</xdr:col>
      <xdr:colOff>54429</xdr:colOff>
      <xdr:row>43</xdr:row>
      <xdr:rowOff>136072</xdr:rowOff>
    </xdr:from>
    <xdr:to>
      <xdr:col>17</xdr:col>
      <xdr:colOff>244929</xdr:colOff>
      <xdr:row>45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FE4CAE7-62D9-4C9C-946E-41D5396D5C1F}"/>
            </a:ext>
            <a:ext uri="{147F2762-F138-4A5C-976F-8EAC2B608ADB}">
              <a16:predDERef xmlns:a16="http://schemas.microsoft.com/office/drawing/2014/main" pred="{3F5821A0-D44F-4560-A54B-DBF6168AAEE8}"/>
            </a:ext>
          </a:extLst>
        </xdr:cNvPr>
        <xdr:cNvCxnSpPr/>
      </xdr:nvCxnSpPr>
      <xdr:spPr>
        <a:xfrm flipH="1">
          <a:off x="14103804" y="8756197"/>
          <a:ext cx="800100" cy="340178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257175</xdr:colOff>
      <xdr:row>48</xdr:row>
      <xdr:rowOff>38100</xdr:rowOff>
    </xdr:from>
    <xdr:to>
      <xdr:col>26</xdr:col>
      <xdr:colOff>247650</xdr:colOff>
      <xdr:row>52</xdr:row>
      <xdr:rowOff>57150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8A270CE-E225-421C-8A2E-4DBDBBE46AC0}"/>
            </a:ext>
            <a:ext uri="{147F2762-F138-4A5C-976F-8EAC2B608ADB}">
              <a16:predDERef xmlns:a16="http://schemas.microsoft.com/office/drawing/2014/main" pred="{4FE4CAE7-62D9-4C9C-946E-41D5396D5C1F}"/>
            </a:ext>
          </a:extLst>
        </xdr:cNvPr>
        <xdr:cNvSpPr txBox="1"/>
      </xdr:nvSpPr>
      <xdr:spPr>
        <a:xfrm>
          <a:off x="14916150" y="9420225"/>
          <a:ext cx="547687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400" b="1"/>
            <a:t>Net Profit Margin Percentage formula</a:t>
          </a:r>
          <a:r>
            <a:rPr lang="en-CA" sz="2400" b="1" baseline="0"/>
            <a:t> is:</a:t>
          </a:r>
        </a:p>
        <a:p>
          <a:pPr algn="ctr"/>
          <a:r>
            <a:rPr lang="en-CA" sz="1800" b="1" baseline="0"/>
            <a:t>(Net Profit / Total Sales)* 100</a:t>
          </a:r>
        </a:p>
        <a:p>
          <a:pPr algn="ctr"/>
          <a:endParaRPr lang="en-CA" sz="1100" baseline="0"/>
        </a:p>
        <a:p>
          <a:endParaRPr lang="en-CA" sz="1100"/>
        </a:p>
      </xdr:txBody>
    </xdr:sp>
    <xdr:clientData/>
  </xdr:twoCellAnchor>
  <xdr:twoCellAnchor>
    <xdr:from>
      <xdr:col>16</xdr:col>
      <xdr:colOff>40822</xdr:colOff>
      <xdr:row>46</xdr:row>
      <xdr:rowOff>108857</xdr:rowOff>
    </xdr:from>
    <xdr:to>
      <xdr:col>17</xdr:col>
      <xdr:colOff>258536</xdr:colOff>
      <xdr:row>49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F90B9917-06BA-4F73-BDBD-298224D15BD9}"/>
            </a:ext>
            <a:ext uri="{147F2762-F138-4A5C-976F-8EAC2B608ADB}">
              <a16:predDERef xmlns:a16="http://schemas.microsoft.com/office/drawing/2014/main" pred="{C8A270CE-E225-421C-8A2E-4DBDBBE46AC0}"/>
            </a:ext>
          </a:extLst>
        </xdr:cNvPr>
        <xdr:cNvCxnSpPr/>
      </xdr:nvCxnSpPr>
      <xdr:spPr>
        <a:xfrm flipH="1" flipV="1">
          <a:off x="14090197" y="9300482"/>
          <a:ext cx="827314" cy="36739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25</xdr:col>
      <xdr:colOff>542925</xdr:colOff>
      <xdr:row>0</xdr:row>
      <xdr:rowOff>742950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C88CB47-65B5-4E06-BB59-B379390DFB95}"/>
            </a:ext>
            <a:ext uri="{147F2762-F138-4A5C-976F-8EAC2B608ADB}">
              <a16:predDERef xmlns:a16="http://schemas.microsoft.com/office/drawing/2014/main" pred="{F90B9917-06BA-4F73-BDBD-298224D15BD9}"/>
            </a:ext>
          </a:extLst>
        </xdr:cNvPr>
        <xdr:cNvSpPr/>
      </xdr:nvSpPr>
      <xdr:spPr>
        <a:xfrm>
          <a:off x="0" y="0"/>
          <a:ext cx="9563100" cy="742950"/>
        </a:xfrm>
        <a:prstGeom prst="rect">
          <a:avLst/>
        </a:prstGeom>
        <a:solidFill>
          <a:srgbClr val="00629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 b="0" i="0" u="none" strike="noStrike">
            <a:solidFill>
              <a:schemeClr val="lt1"/>
            </a:solidFill>
            <a:latin typeface="Aptos Narrow" panose="020B0004020202020204" pitchFamily="34" charset="0"/>
          </a:endParaRPr>
        </a:p>
      </xdr:txBody>
    </xdr:sp>
    <xdr:clientData/>
  </xdr:twoCellAnchor>
  <xdr:twoCellAnchor>
    <xdr:from>
      <xdr:col>3</xdr:col>
      <xdr:colOff>57150</xdr:colOff>
      <xdr:row>0</xdr:row>
      <xdr:rowOff>133350</xdr:rowOff>
    </xdr:from>
    <xdr:to>
      <xdr:col>10</xdr:col>
      <xdr:colOff>266700</xdr:colOff>
      <xdr:row>0</xdr:row>
      <xdr:rowOff>733425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1DDCB98-2763-4665-9281-3F62E89F9BF9}"/>
            </a:ext>
            <a:ext uri="{147F2762-F138-4A5C-976F-8EAC2B608ADB}">
              <a16:predDERef xmlns:a16="http://schemas.microsoft.com/office/drawing/2014/main" pred="{0C88CB47-65B5-4E06-BB59-B379390DFB95}"/>
            </a:ext>
          </a:extLst>
        </xdr:cNvPr>
        <xdr:cNvSpPr txBox="1"/>
      </xdr:nvSpPr>
      <xdr:spPr>
        <a:xfrm>
          <a:off x="3495675" y="133350"/>
          <a:ext cx="6343650" cy="600075"/>
        </a:xfrm>
        <a:prstGeom prst="rect">
          <a:avLst/>
        </a:prstGeom>
        <a:noFill/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2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RUB A DUB HOT TUB - TTM P</a:t>
          </a:r>
          <a:r>
            <a:rPr lang="en-US" sz="24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rofit and Loss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76200</xdr:rowOff>
    </xdr:from>
    <xdr:to>
      <xdr:col>1</xdr:col>
      <xdr:colOff>342900</xdr:colOff>
      <xdr:row>0</xdr:row>
      <xdr:rowOff>638175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23A6139-EF40-4B70-801F-4641159C75ED}"/>
            </a:ext>
            <a:ext uri="{147F2762-F138-4A5C-976F-8EAC2B608ADB}">
              <a16:predDERef xmlns:a16="http://schemas.microsoft.com/office/drawing/2014/main" pred="{31DDCB98-2763-4665-9281-3F62E89F9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200"/>
          <a:ext cx="666750" cy="561975"/>
        </a:xfrm>
        <a:prstGeom prst="rect">
          <a:avLst/>
        </a:prstGeom>
      </xdr:spPr>
    </xdr:pic>
    <xdr:clientData/>
  </xdr:twoCellAnchor>
  <xdr:twoCellAnchor>
    <xdr:from>
      <xdr:col>16</xdr:col>
      <xdr:colOff>47625</xdr:colOff>
      <xdr:row>15</xdr:row>
      <xdr:rowOff>104775</xdr:rowOff>
    </xdr:from>
    <xdr:to>
      <xdr:col>17</xdr:col>
      <xdr:colOff>266700</xdr:colOff>
      <xdr:row>17</xdr:row>
      <xdr:rowOff>0</xdr:rowOff>
    </xdr:to>
    <xdr:cxnSp macro="">
      <xdr:nvCxnSpPr>
        <xdr:cNvPr id="12" name="Straight Arrow Connector 3">
          <a:extLst>
            <a:ext uri="{FF2B5EF4-FFF2-40B4-BE49-F238E27FC236}">
              <a16:creationId xmlns:a16="http://schemas.microsoft.com/office/drawing/2014/main" id="{0F3C88A7-3C66-4269-BA80-8A487A9AC0DE}"/>
            </a:ext>
            <a:ext uri="{147F2762-F138-4A5C-976F-8EAC2B608ADB}">
              <a16:predDERef xmlns:a16="http://schemas.microsoft.com/office/drawing/2014/main" pred="{623A6139-EF40-4B70-801F-4641159C75ED}"/>
            </a:ext>
          </a:extLst>
        </xdr:cNvPr>
        <xdr:cNvCxnSpPr>
          <a:cxnSpLocks/>
        </xdr:cNvCxnSpPr>
      </xdr:nvCxnSpPr>
      <xdr:spPr>
        <a:xfrm flipH="1" flipV="1">
          <a:off x="14097000" y="3390900"/>
          <a:ext cx="828675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1228725</xdr:colOff>
      <xdr:row>0</xdr:row>
      <xdr:rowOff>142875</xdr:rowOff>
    </xdr:from>
    <xdr:to>
      <xdr:col>24</xdr:col>
      <xdr:colOff>9525</xdr:colOff>
      <xdr:row>0</xdr:row>
      <xdr:rowOff>742950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53F3804-63A9-4706-9A72-87B1B3985FCC}"/>
            </a:ext>
            <a:ext uri="{147F2762-F138-4A5C-976F-8EAC2B608ADB}">
              <a16:predDERef xmlns:a16="http://schemas.microsoft.com/office/drawing/2014/main" pred="{0F3C88A7-3C66-4269-BA80-8A487A9AC0DE}"/>
            </a:ext>
          </a:extLst>
        </xdr:cNvPr>
        <xdr:cNvSpPr txBox="1"/>
      </xdr:nvSpPr>
      <xdr:spPr>
        <a:xfrm>
          <a:off x="1609725" y="142875"/>
          <a:ext cx="6810375" cy="600075"/>
        </a:xfrm>
        <a:prstGeom prst="rect">
          <a:avLst/>
        </a:prstGeom>
        <a:noFill/>
        <a:ln w="9525" cmpd="sng">
          <a:noFill/>
        </a:ln>
      </xdr:spPr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2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RUB A DUB HOT TUB - </a:t>
          </a:r>
          <a:r>
            <a:rPr lang="en-US" sz="24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Annual</a:t>
          </a:r>
          <a:r>
            <a:rPr lang="en-US" sz="2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</a:t>
          </a:r>
          <a:r>
            <a:rPr lang="en-US" sz="24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rofit and Loss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9</xdr:row>
      <xdr:rowOff>19050</xdr:rowOff>
    </xdr:from>
    <xdr:to>
      <xdr:col>25</xdr:col>
      <xdr:colOff>209550</xdr:colOff>
      <xdr:row>13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52729B-4CF9-4E57-875C-BF871AFD376C}"/>
            </a:ext>
          </a:extLst>
        </xdr:cNvPr>
        <xdr:cNvSpPr txBox="1"/>
      </xdr:nvSpPr>
      <xdr:spPr>
        <a:xfrm>
          <a:off x="15283815" y="2030730"/>
          <a:ext cx="4829175" cy="721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400" b="1"/>
            <a:t>Gross</a:t>
          </a:r>
          <a:r>
            <a:rPr lang="en-CA" sz="2400" b="1" baseline="0"/>
            <a:t> Profit formula is:</a:t>
          </a:r>
        </a:p>
        <a:p>
          <a:pPr algn="ctr"/>
          <a:r>
            <a:rPr lang="en-CA" sz="1800" b="1"/>
            <a:t>(Total</a:t>
          </a:r>
          <a:r>
            <a:rPr lang="en-CA" sz="1800" b="1" baseline="0"/>
            <a:t> Sales - Total Cost of Goods Sold)</a:t>
          </a:r>
          <a:endParaRPr lang="en-CA" sz="1800" b="1"/>
        </a:p>
      </xdr:txBody>
    </xdr:sp>
    <xdr:clientData/>
  </xdr:twoCellAnchor>
  <xdr:twoCellAnchor>
    <xdr:from>
      <xdr:col>17</xdr:col>
      <xdr:colOff>266700</xdr:colOff>
      <xdr:row>16</xdr:row>
      <xdr:rowOff>47625</xdr:rowOff>
    </xdr:from>
    <xdr:to>
      <xdr:col>23</xdr:col>
      <xdr:colOff>285750</xdr:colOff>
      <xdr:row>20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1F8D94-50B9-45E2-B456-D8FA3B2CDF51}"/>
            </a:ext>
            <a:ext uri="{147F2762-F138-4A5C-976F-8EAC2B608ADB}">
              <a16:predDERef xmlns:a16="http://schemas.microsoft.com/office/drawing/2014/main" pred="{42B23619-795F-47FC-A9F2-08D1C05C7B43}"/>
            </a:ext>
          </a:extLst>
        </xdr:cNvPr>
        <xdr:cNvSpPr txBox="1"/>
      </xdr:nvSpPr>
      <xdr:spPr>
        <a:xfrm>
          <a:off x="15293340" y="3339465"/>
          <a:ext cx="3676650" cy="7505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2400" b="1" i="0">
              <a:solidFill>
                <a:schemeClr val="dk1"/>
              </a:solidFill>
              <a:latin typeface="+mn-lt"/>
              <a:ea typeface="+mn-lt"/>
              <a:cs typeface="+mn-lt"/>
            </a:rPr>
            <a:t>Gross Margin formula is:</a:t>
          </a:r>
          <a:endParaRPr lang="en-US" sz="1800" b="1" i="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 algn="ctr"/>
          <a:r>
            <a:rPr lang="en-US" sz="1800" b="1" i="0">
              <a:solidFill>
                <a:schemeClr val="dk1"/>
              </a:solidFill>
              <a:latin typeface="+mn-lt"/>
              <a:ea typeface="+mn-lt"/>
              <a:cs typeface="+mn-lt"/>
            </a:rPr>
            <a:t> (</a:t>
          </a:r>
          <a:r>
            <a:rPr lang="en-US" sz="1800" b="1" i="0" u="none" strike="noStrike">
              <a:solidFill>
                <a:schemeClr val="dk1"/>
              </a:solidFill>
              <a:latin typeface="Aptos Narrow" panose="020B0004020202020204" pitchFamily="34" charset="0"/>
            </a:rPr>
            <a:t>Gross Profit</a:t>
          </a:r>
          <a:r>
            <a:rPr lang="en-US" sz="1800" b="1" i="0">
              <a:solidFill>
                <a:schemeClr val="dk1"/>
              </a:solidFill>
              <a:latin typeface="+mn-lt"/>
              <a:ea typeface="+mn-lt"/>
              <a:cs typeface="+mn-lt"/>
            </a:rPr>
            <a:t> / Total Revenue) * 100 </a:t>
          </a:r>
        </a:p>
      </xdr:txBody>
    </xdr:sp>
    <xdr:clientData/>
  </xdr:twoCellAnchor>
  <xdr:twoCellAnchor>
    <xdr:from>
      <xdr:col>16</xdr:col>
      <xdr:colOff>66675</xdr:colOff>
      <xdr:row>11</xdr:row>
      <xdr:rowOff>14288</xdr:rowOff>
    </xdr:from>
    <xdr:to>
      <xdr:col>17</xdr:col>
      <xdr:colOff>257175</xdr:colOff>
      <xdr:row>14</xdr:row>
      <xdr:rowOff>66675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6B04BED-5ADE-454C-9DEA-4B09AB2951EB}"/>
            </a:ext>
            <a:ext uri="{147F2762-F138-4A5C-976F-8EAC2B608ADB}">
              <a16:predDERef xmlns:a16="http://schemas.microsoft.com/office/drawing/2014/main" pred="{CEF089D4-1C68-489F-B258-CDFDF29F15DD}"/>
            </a:ext>
          </a:extLst>
        </xdr:cNvPr>
        <xdr:cNvCxnSpPr>
          <a:cxnSpLocks/>
          <a:stCxn id="2" idx="1"/>
          <a:extLst>
            <a:ext uri="{5F17804C-33F3-41E3-A699-7DCFA2EF7971}">
              <a16:cxnDERefs xmlns:a16="http://schemas.microsoft.com/office/drawing/2014/main" st="{42B23619-795F-47FC-A9F2-08D1C05C7B43}" end="{00000000-0000-0000-0000-000000000000}"/>
            </a:ext>
          </a:extLst>
        </xdr:cNvCxnSpPr>
      </xdr:nvCxnSpPr>
      <xdr:spPr>
        <a:xfrm flipH="1">
          <a:off x="14483715" y="2391728"/>
          <a:ext cx="800100" cy="601027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247650</xdr:colOff>
      <xdr:row>41</xdr:row>
      <xdr:rowOff>104775</xdr:rowOff>
    </xdr:from>
    <xdr:to>
      <xdr:col>22</xdr:col>
      <xdr:colOff>276225</xdr:colOff>
      <xdr:row>45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EA7B39C-890A-48BA-BF4E-72980C1AEE0E}"/>
            </a:ext>
            <a:ext uri="{147F2762-F138-4A5C-976F-8EAC2B608ADB}">
              <a16:predDERef xmlns:a16="http://schemas.microsoft.com/office/drawing/2014/main" pred="{E211E891-0431-4AAA-8E72-2B6F261053CA}"/>
            </a:ext>
          </a:extLst>
        </xdr:cNvPr>
        <xdr:cNvSpPr txBox="1"/>
      </xdr:nvSpPr>
      <xdr:spPr>
        <a:xfrm>
          <a:off x="15274290" y="7968615"/>
          <a:ext cx="3076575" cy="7886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400" b="1"/>
            <a:t>Net Profit formula</a:t>
          </a:r>
          <a:r>
            <a:rPr lang="en-CA" sz="2400" b="1" baseline="0"/>
            <a:t> is:</a:t>
          </a:r>
        </a:p>
        <a:p>
          <a:pPr algn="ctr"/>
          <a:r>
            <a:rPr lang="en-CA" sz="1800" b="1" baseline="0"/>
            <a:t>(Gross Profit - Total Expenses)</a:t>
          </a:r>
          <a:endParaRPr lang="en-CA" sz="1800" b="1"/>
        </a:p>
      </xdr:txBody>
    </xdr:sp>
    <xdr:clientData/>
  </xdr:twoCellAnchor>
  <xdr:twoCellAnchor>
    <xdr:from>
      <xdr:col>16</xdr:col>
      <xdr:colOff>54429</xdr:colOff>
      <xdr:row>43</xdr:row>
      <xdr:rowOff>136072</xdr:rowOff>
    </xdr:from>
    <xdr:to>
      <xdr:col>17</xdr:col>
      <xdr:colOff>244929</xdr:colOff>
      <xdr:row>45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5CDBBC9-D8A3-4A81-80D8-FD34E042F71B}"/>
            </a:ext>
          </a:extLst>
        </xdr:cNvPr>
        <xdr:cNvCxnSpPr/>
      </xdr:nvCxnSpPr>
      <xdr:spPr>
        <a:xfrm flipH="1">
          <a:off x="14471469" y="8365672"/>
          <a:ext cx="800100" cy="324938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257175</xdr:colOff>
      <xdr:row>48</xdr:row>
      <xdr:rowOff>38100</xdr:rowOff>
    </xdr:from>
    <xdr:to>
      <xdr:col>26</xdr:col>
      <xdr:colOff>247650</xdr:colOff>
      <xdr:row>52</xdr:row>
      <xdr:rowOff>57150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76DDFE1-3834-49F6-A053-8DCEF0568CA7}"/>
            </a:ext>
            <a:ext uri="{147F2762-F138-4A5C-976F-8EAC2B608ADB}">
              <a16:predDERef xmlns:a16="http://schemas.microsoft.com/office/drawing/2014/main" pred="{C1B10A10-6A33-470D-8514-5E470C7AC0A6}"/>
            </a:ext>
          </a:extLst>
        </xdr:cNvPr>
        <xdr:cNvSpPr txBox="1"/>
      </xdr:nvSpPr>
      <xdr:spPr>
        <a:xfrm>
          <a:off x="15283815" y="8999220"/>
          <a:ext cx="5476875" cy="963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400" b="1"/>
            <a:t>Net Profit Margin Percentage formula</a:t>
          </a:r>
          <a:r>
            <a:rPr lang="en-CA" sz="2400" b="1" baseline="0"/>
            <a:t> is:</a:t>
          </a:r>
        </a:p>
        <a:p>
          <a:pPr algn="ctr"/>
          <a:r>
            <a:rPr lang="en-CA" sz="1800" b="1" baseline="0"/>
            <a:t>(Net Profit / Total Sales)* 100</a:t>
          </a:r>
        </a:p>
        <a:p>
          <a:pPr algn="ctr"/>
          <a:endParaRPr lang="en-CA" sz="1100" baseline="0"/>
        </a:p>
        <a:p>
          <a:endParaRPr lang="en-CA" sz="1100"/>
        </a:p>
      </xdr:txBody>
    </xdr:sp>
    <xdr:clientData/>
  </xdr:twoCellAnchor>
  <xdr:twoCellAnchor>
    <xdr:from>
      <xdr:col>16</xdr:col>
      <xdr:colOff>40822</xdr:colOff>
      <xdr:row>46</xdr:row>
      <xdr:rowOff>108857</xdr:rowOff>
    </xdr:from>
    <xdr:to>
      <xdr:col>17</xdr:col>
      <xdr:colOff>258536</xdr:colOff>
      <xdr:row>49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1314A209-C580-4E72-BEE9-D7A863F812B5}"/>
            </a:ext>
          </a:extLst>
        </xdr:cNvPr>
        <xdr:cNvCxnSpPr/>
      </xdr:nvCxnSpPr>
      <xdr:spPr>
        <a:xfrm flipH="1" flipV="1">
          <a:off x="14457862" y="8887097"/>
          <a:ext cx="827314" cy="35215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0</xdr:row>
      <xdr:rowOff>9525</xdr:rowOff>
    </xdr:from>
    <xdr:to>
      <xdr:col>16</xdr:col>
      <xdr:colOff>9525</xdr:colOff>
      <xdr:row>0</xdr:row>
      <xdr:rowOff>752475</xdr:rowOff>
    </xdr:to>
    <xdr:sp macro="" textlink="">
      <xdr:nvSpPr>
        <xdr:cNvPr id="22" name="Rectangle 8">
          <a:extLst>
            <a:ext uri="{FF2B5EF4-FFF2-40B4-BE49-F238E27FC236}">
              <a16:creationId xmlns:a16="http://schemas.microsoft.com/office/drawing/2014/main" id="{6A29E52F-F224-401D-AAC6-D3C6B3041B81}"/>
            </a:ext>
            <a:ext uri="{147F2762-F138-4A5C-976F-8EAC2B608ADB}">
              <a16:predDERef xmlns:a16="http://schemas.microsoft.com/office/drawing/2014/main" pred="{1314A209-C580-4E72-BEE9-D7A863F812B5}"/>
            </a:ext>
          </a:extLst>
        </xdr:cNvPr>
        <xdr:cNvSpPr/>
      </xdr:nvSpPr>
      <xdr:spPr>
        <a:xfrm>
          <a:off x="19050" y="9525"/>
          <a:ext cx="14039850" cy="742950"/>
        </a:xfrm>
        <a:prstGeom prst="rect">
          <a:avLst/>
        </a:prstGeom>
        <a:solidFill>
          <a:srgbClr val="00629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0</xdr:col>
      <xdr:colOff>200025</xdr:colOff>
      <xdr:row>24</xdr:row>
      <xdr:rowOff>104775</xdr:rowOff>
    </xdr:from>
    <xdr:to>
      <xdr:col>6</xdr:col>
      <xdr:colOff>476250</xdr:colOff>
      <xdr:row>27</xdr:row>
      <xdr:rowOff>133350</xdr:rowOff>
    </xdr:to>
    <xdr:sp macro="" textlink="">
      <xdr:nvSpPr>
        <xdr:cNvPr id="31" name="TextBox 9">
          <a:extLst>
            <a:ext uri="{FF2B5EF4-FFF2-40B4-BE49-F238E27FC236}">
              <a16:creationId xmlns:a16="http://schemas.microsoft.com/office/drawing/2014/main" id="{EAF25688-5F38-4D1D-B9F2-19388E09F402}"/>
            </a:ext>
            <a:ext uri="{147F2762-F138-4A5C-976F-8EAC2B608ADB}">
              <a16:predDERef xmlns:a16="http://schemas.microsoft.com/office/drawing/2014/main" pred="{6A29E52F-F224-401D-AAC6-D3C6B3041B81}"/>
            </a:ext>
          </a:extLst>
        </xdr:cNvPr>
        <xdr:cNvSpPr txBox="1"/>
      </xdr:nvSpPr>
      <xdr:spPr>
        <a:xfrm>
          <a:off x="200025" y="5105400"/>
          <a:ext cx="6343650" cy="600075"/>
        </a:xfrm>
        <a:prstGeom prst="rect">
          <a:avLst/>
        </a:prstGeom>
        <a:noFill/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2400" b="0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RUB A DUB HOT TUB - TTM P</a:t>
          </a:r>
          <a:r>
            <a:rPr lang="en-US" sz="2400" b="0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rofit and Loss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95250</xdr:rowOff>
    </xdr:from>
    <xdr:to>
      <xdr:col>1</xdr:col>
      <xdr:colOff>285750</xdr:colOff>
      <xdr:row>0</xdr:row>
      <xdr:rowOff>657225</xdr:rowOff>
    </xdr:to>
    <xdr:pic>
      <xdr:nvPicPr>
        <xdr:cNvPr id="24" name="Picture 10">
          <a:extLst>
            <a:ext uri="{FF2B5EF4-FFF2-40B4-BE49-F238E27FC236}">
              <a16:creationId xmlns:a16="http://schemas.microsoft.com/office/drawing/2014/main" id="{A6F88573-4221-40CC-A5AD-6F62D5B97A7C}"/>
            </a:ext>
            <a:ext uri="{147F2762-F138-4A5C-976F-8EAC2B608ADB}">
              <a16:predDERef xmlns:a16="http://schemas.microsoft.com/office/drawing/2014/main" pred="{EAF25688-5F38-4D1D-B9F2-19388E09F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666750" cy="561975"/>
        </a:xfrm>
        <a:prstGeom prst="rect">
          <a:avLst/>
        </a:prstGeom>
      </xdr:spPr>
    </xdr:pic>
    <xdr:clientData/>
  </xdr:twoCellAnchor>
  <xdr:twoCellAnchor>
    <xdr:from>
      <xdr:col>16</xdr:col>
      <xdr:colOff>47625</xdr:colOff>
      <xdr:row>15</xdr:row>
      <xdr:rowOff>104775</xdr:rowOff>
    </xdr:from>
    <xdr:to>
      <xdr:col>17</xdr:col>
      <xdr:colOff>266700</xdr:colOff>
      <xdr:row>17</xdr:row>
      <xdr:rowOff>0</xdr:rowOff>
    </xdr:to>
    <xdr:cxnSp macro="">
      <xdr:nvCxnSpPr>
        <xdr:cNvPr id="12" name="Straight Arrow Connector 3">
          <a:extLst>
            <a:ext uri="{FF2B5EF4-FFF2-40B4-BE49-F238E27FC236}">
              <a16:creationId xmlns:a16="http://schemas.microsoft.com/office/drawing/2014/main" id="{7C3BE596-3438-409D-99DA-680BDCE4C1F5}"/>
            </a:ext>
            <a:ext uri="{147F2762-F138-4A5C-976F-8EAC2B608ADB}">
              <a16:predDERef xmlns:a16="http://schemas.microsoft.com/office/drawing/2014/main" pred="{A6E801D0-9DAA-8D51-9F04-58191956A812}"/>
            </a:ext>
          </a:extLst>
        </xdr:cNvPr>
        <xdr:cNvCxnSpPr>
          <a:cxnSpLocks/>
        </xdr:cNvCxnSpPr>
      </xdr:nvCxnSpPr>
      <xdr:spPr>
        <a:xfrm flipH="1" flipV="1">
          <a:off x="14464665" y="3213735"/>
          <a:ext cx="828675" cy="26098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A781-AC3F-4F86-AED2-1AE5391C67A3}">
  <dimension ref="A1:O51"/>
  <sheetViews>
    <sheetView workbookViewId="0">
      <selection activeCell="A2" sqref="A2"/>
    </sheetView>
  </sheetViews>
  <sheetFormatPr defaultRowHeight="14.4" x14ac:dyDescent="0.3"/>
  <cols>
    <col min="1" max="1" width="41.5546875" style="30" customWidth="1"/>
    <col min="2" max="2" width="15.44140625" customWidth="1"/>
    <col min="3" max="3" width="21.109375" style="33" customWidth="1"/>
    <col min="4" max="4" width="8.88671875" bestFit="1" customWidth="1"/>
    <col min="5" max="5" width="1.5546875" customWidth="1"/>
    <col min="6" max="6" width="3" customWidth="1"/>
    <col min="7" max="7" width="13.5546875" customWidth="1"/>
    <col min="8" max="8" width="1.88671875" customWidth="1"/>
    <col min="9" max="9" width="12.44140625" customWidth="1"/>
    <col min="10" max="10" width="2.44140625" customWidth="1"/>
    <col min="11" max="11" width="8" customWidth="1"/>
    <col min="12" max="12" width="2" customWidth="1"/>
    <col min="13" max="13" width="8.88671875" bestFit="1" customWidth="1"/>
    <col min="14" max="14" width="10.5546875" customWidth="1"/>
  </cols>
  <sheetData>
    <row r="1" spans="1:14" ht="55.5" customHeight="1" x14ac:dyDescent="0.3">
      <c r="A1" s="34"/>
      <c r="N1" s="34"/>
    </row>
    <row r="3" spans="1:14" ht="17.399999999999999" x14ac:dyDescent="0.3">
      <c r="A3" s="35" t="s">
        <v>0</v>
      </c>
    </row>
    <row r="4" spans="1:14" ht="15" customHeight="1" x14ac:dyDescent="0.3"/>
    <row r="5" spans="1:14" ht="15.6" x14ac:dyDescent="0.3">
      <c r="A5" s="36" t="s">
        <v>1</v>
      </c>
    </row>
    <row r="6" spans="1:14" x14ac:dyDescent="0.3">
      <c r="A6" s="37" t="s">
        <v>2</v>
      </c>
      <c r="C6" s="33">
        <v>65000</v>
      </c>
    </row>
    <row r="7" spans="1:14" x14ac:dyDescent="0.3">
      <c r="A7" s="37" t="s">
        <v>3</v>
      </c>
      <c r="C7" s="33">
        <v>35000</v>
      </c>
    </row>
    <row r="8" spans="1:14" x14ac:dyDescent="0.3">
      <c r="A8" s="30" t="s">
        <v>4</v>
      </c>
      <c r="C8" s="33">
        <v>80000</v>
      </c>
    </row>
    <row r="9" spans="1:14" ht="24" customHeight="1" x14ac:dyDescent="0.45">
      <c r="A9" s="30" t="s">
        <v>5</v>
      </c>
      <c r="C9" s="33">
        <v>180000</v>
      </c>
      <c r="G9" s="38"/>
    </row>
    <row r="10" spans="1:14" x14ac:dyDescent="0.3">
      <c r="A10" s="30" t="s">
        <v>6</v>
      </c>
      <c r="C10" s="33">
        <v>10000</v>
      </c>
    </row>
    <row r="11" spans="1:14" x14ac:dyDescent="0.3">
      <c r="A11" s="39" t="s">
        <v>7</v>
      </c>
      <c r="B11" s="40"/>
      <c r="C11" s="41">
        <f>SUM(C6:C10)</f>
        <v>370000</v>
      </c>
    </row>
    <row r="12" spans="1:14" ht="15" customHeight="1" x14ac:dyDescent="0.3"/>
    <row r="13" spans="1:14" ht="15.6" x14ac:dyDescent="0.3">
      <c r="A13" s="36" t="s">
        <v>8</v>
      </c>
    </row>
    <row r="14" spans="1:14" x14ac:dyDescent="0.3">
      <c r="A14" s="42" t="s">
        <v>9</v>
      </c>
      <c r="G14" s="43" t="s">
        <v>10</v>
      </c>
    </row>
    <row r="15" spans="1:14" x14ac:dyDescent="0.3">
      <c r="A15" s="30" t="s">
        <v>11</v>
      </c>
      <c r="C15" s="33">
        <v>55000</v>
      </c>
      <c r="G15" s="41">
        <f>C11</f>
        <v>370000</v>
      </c>
      <c r="H15" s="44" t="s">
        <v>12</v>
      </c>
      <c r="I15" s="41">
        <f>C33</f>
        <v>200000</v>
      </c>
      <c r="J15" s="44" t="s">
        <v>13</v>
      </c>
      <c r="K15" s="45">
        <f>(C11/C33)</f>
        <v>1.85</v>
      </c>
      <c r="L15" s="46"/>
      <c r="M15" s="46"/>
      <c r="N15" s="46"/>
    </row>
    <row r="16" spans="1:14" x14ac:dyDescent="0.3">
      <c r="A16" s="30" t="s">
        <v>14</v>
      </c>
      <c r="C16" s="33">
        <v>90000</v>
      </c>
    </row>
    <row r="17" spans="1:14" x14ac:dyDescent="0.3">
      <c r="A17" s="30" t="s">
        <v>15</v>
      </c>
      <c r="C17" s="33">
        <v>10000</v>
      </c>
    </row>
    <row r="18" spans="1:14" ht="24" customHeight="1" x14ac:dyDescent="0.45">
      <c r="A18" s="30" t="s">
        <v>16</v>
      </c>
      <c r="C18" s="33">
        <v>25000</v>
      </c>
      <c r="G18" s="38"/>
    </row>
    <row r="19" spans="1:14" x14ac:dyDescent="0.3">
      <c r="A19" s="42" t="s">
        <v>17</v>
      </c>
      <c r="C19" s="47">
        <f>SUM(C15:C18)</f>
        <v>180000</v>
      </c>
    </row>
    <row r="20" spans="1:14" ht="15.6" x14ac:dyDescent="0.3">
      <c r="A20" s="48" t="s">
        <v>18</v>
      </c>
      <c r="C20" s="33">
        <v>-15000</v>
      </c>
      <c r="G20" s="46"/>
      <c r="H20" s="46"/>
      <c r="I20" s="46"/>
      <c r="J20" s="46"/>
      <c r="K20" s="46"/>
      <c r="L20" s="46"/>
      <c r="M20" s="46"/>
      <c r="N20" s="46"/>
    </row>
    <row r="21" spans="1:14" x14ac:dyDescent="0.3">
      <c r="A21" s="39" t="s">
        <v>19</v>
      </c>
      <c r="B21" s="40"/>
      <c r="C21" s="49">
        <f>SUM(C19+C20)</f>
        <v>165000</v>
      </c>
    </row>
    <row r="22" spans="1:14" x14ac:dyDescent="0.3">
      <c r="G22" s="33"/>
      <c r="I22" s="33"/>
      <c r="K22" s="46"/>
    </row>
    <row r="23" spans="1:14" ht="15.6" x14ac:dyDescent="0.3">
      <c r="A23" s="50" t="s">
        <v>20</v>
      </c>
      <c r="B23" s="40"/>
      <c r="C23" s="51">
        <f>SUM(C11,C21)</f>
        <v>535000</v>
      </c>
    </row>
    <row r="24" spans="1:14" ht="15" customHeight="1" x14ac:dyDescent="0.3"/>
    <row r="25" spans="1:14" ht="17.399999999999999" x14ac:dyDescent="0.3">
      <c r="A25" s="35" t="s">
        <v>21</v>
      </c>
    </row>
    <row r="26" spans="1:14" ht="15" customHeight="1" x14ac:dyDescent="0.3"/>
    <row r="27" spans="1:14" ht="15.6" x14ac:dyDescent="0.3">
      <c r="A27" s="36" t="s">
        <v>22</v>
      </c>
    </row>
    <row r="28" spans="1:14" ht="15" customHeight="1" x14ac:dyDescent="0.3">
      <c r="A28" s="30" t="s">
        <v>23</v>
      </c>
      <c r="C28" s="33">
        <v>80000</v>
      </c>
    </row>
    <row r="29" spans="1:14" ht="15" customHeight="1" x14ac:dyDescent="0.3">
      <c r="A29" s="30" t="s">
        <v>24</v>
      </c>
      <c r="C29" s="33">
        <v>50000</v>
      </c>
    </row>
    <row r="30" spans="1:14" x14ac:dyDescent="0.3">
      <c r="A30" s="30" t="s">
        <v>25</v>
      </c>
      <c r="C30" s="33">
        <v>30000</v>
      </c>
    </row>
    <row r="31" spans="1:14" x14ac:dyDescent="0.3">
      <c r="A31" s="30" t="s">
        <v>26</v>
      </c>
      <c r="C31" s="33">
        <v>30000</v>
      </c>
    </row>
    <row r="32" spans="1:14" x14ac:dyDescent="0.3">
      <c r="A32" s="30" t="s">
        <v>27</v>
      </c>
      <c r="C32" s="33">
        <v>10000</v>
      </c>
    </row>
    <row r="33" spans="1:11" x14ac:dyDescent="0.3">
      <c r="A33" s="39" t="s">
        <v>28</v>
      </c>
      <c r="B33" s="40"/>
      <c r="C33" s="41">
        <f>SUM(C28:C32)</f>
        <v>200000</v>
      </c>
    </row>
    <row r="34" spans="1:11" ht="15" customHeight="1" x14ac:dyDescent="0.3"/>
    <row r="35" spans="1:11" ht="15.6" x14ac:dyDescent="0.3">
      <c r="A35" s="36" t="s">
        <v>29</v>
      </c>
    </row>
    <row r="36" spans="1:11" x14ac:dyDescent="0.3">
      <c r="A36" s="30" t="s">
        <v>30</v>
      </c>
      <c r="C36" s="33">
        <v>90000</v>
      </c>
    </row>
    <row r="37" spans="1:11" x14ac:dyDescent="0.3">
      <c r="A37" s="30" t="s">
        <v>31</v>
      </c>
      <c r="C37" s="52">
        <v>80000</v>
      </c>
      <c r="G37" s="53" t="s">
        <v>32</v>
      </c>
      <c r="H37" s="54"/>
      <c r="I37" s="54"/>
    </row>
    <row r="38" spans="1:11" x14ac:dyDescent="0.3">
      <c r="A38" s="30" t="s">
        <v>33</v>
      </c>
      <c r="C38" s="33">
        <v>50000</v>
      </c>
      <c r="G38" s="55">
        <f>C$41</f>
        <v>420000</v>
      </c>
      <c r="H38" s="56" t="s">
        <v>12</v>
      </c>
      <c r="I38" s="55">
        <f>C37+C47</f>
        <v>195000</v>
      </c>
      <c r="J38" s="56" t="s">
        <v>13</v>
      </c>
      <c r="K38" s="57">
        <f>(C$41/(C$47+C37))</f>
        <v>2.1538461538461537</v>
      </c>
    </row>
    <row r="39" spans="1:11" x14ac:dyDescent="0.3">
      <c r="A39" s="39" t="s">
        <v>34</v>
      </c>
      <c r="B39" s="40"/>
      <c r="C39" s="49">
        <f>SUM(C36:C38)</f>
        <v>220000</v>
      </c>
    </row>
    <row r="41" spans="1:11" ht="15.6" x14ac:dyDescent="0.3">
      <c r="A41" s="50" t="s">
        <v>35</v>
      </c>
      <c r="B41" s="40"/>
      <c r="C41" s="55">
        <f>SUM(C33,C39)</f>
        <v>420000</v>
      </c>
    </row>
    <row r="42" spans="1:11" ht="15" customHeight="1" x14ac:dyDescent="0.3"/>
    <row r="43" spans="1:11" ht="17.399999999999999" x14ac:dyDescent="0.3">
      <c r="A43" s="35" t="s">
        <v>36</v>
      </c>
    </row>
    <row r="44" spans="1:11" x14ac:dyDescent="0.3">
      <c r="A44" s="30" t="s">
        <v>37</v>
      </c>
      <c r="C44" s="33">
        <v>50000</v>
      </c>
    </row>
    <row r="45" spans="1:11" x14ac:dyDescent="0.3">
      <c r="A45" s="30" t="s">
        <v>38</v>
      </c>
      <c r="C45" s="33">
        <v>34000</v>
      </c>
    </row>
    <row r="46" spans="1:11" x14ac:dyDescent="0.3">
      <c r="A46" s="30" t="s">
        <v>39</v>
      </c>
      <c r="C46" s="33">
        <v>31000</v>
      </c>
    </row>
    <row r="47" spans="1:11" x14ac:dyDescent="0.3">
      <c r="A47" s="42" t="s">
        <v>40</v>
      </c>
      <c r="C47" s="55">
        <f>SUM(C44:C46)</f>
        <v>115000</v>
      </c>
    </row>
    <row r="48" spans="1:11" ht="15" customHeight="1" x14ac:dyDescent="0.3"/>
    <row r="49" spans="1:15" ht="17.399999999999999" x14ac:dyDescent="0.3">
      <c r="A49" s="58" t="s">
        <v>41</v>
      </c>
      <c r="B49" s="40"/>
      <c r="C49" s="49">
        <f>SUM(C41,C47)</f>
        <v>535000</v>
      </c>
    </row>
    <row r="51" spans="1:15" ht="15.75" customHeight="1" x14ac:dyDescent="0.3">
      <c r="A51" s="130" t="s">
        <v>42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</sheetData>
  <sheetProtection algorithmName="SHA-512" hashValue="4D5hy/0GYd9HxdPxTnhHklM+ZNti3CvOpE4uZtA7hUDF3oHAFfNJCRbUj+lNd3Mj1xOja/nVBQOyn8W584LLgQ==" saltValue="a4CCC6WOMfuYUhjRb6RVFg==" spinCount="100000" sheet="1" objects="1" scenarios="1"/>
  <mergeCells count="1">
    <mergeCell ref="A51:O51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93429-E352-48AE-BFF9-099234B47AF9}">
  <dimension ref="A1:AA57"/>
  <sheetViews>
    <sheetView workbookViewId="0">
      <selection activeCell="AB1" sqref="AB1"/>
    </sheetView>
  </sheetViews>
  <sheetFormatPr defaultRowHeight="14.4" x14ac:dyDescent="0.3"/>
  <cols>
    <col min="1" max="1" width="5.6640625" customWidth="1"/>
    <col min="2" max="2" width="32.6640625" customWidth="1"/>
    <col min="3" max="3" width="13.5546875" hidden="1" customWidth="1"/>
    <col min="4" max="14" width="13.109375" hidden="1" customWidth="1"/>
    <col min="15" max="15" width="0" hidden="1" customWidth="1"/>
    <col min="16" max="16" width="14.5546875" customWidth="1"/>
  </cols>
  <sheetData>
    <row r="1" spans="1:27" ht="66" customHeight="1" x14ac:dyDescent="0.75">
      <c r="A1" s="1"/>
      <c r="B1" s="60"/>
      <c r="C1" s="2"/>
      <c r="E1" s="3"/>
      <c r="F1" s="3"/>
      <c r="G1" s="2"/>
      <c r="H1" s="4"/>
      <c r="I1" s="4"/>
      <c r="J1" s="2"/>
      <c r="K1" s="4"/>
      <c r="L1" s="4"/>
      <c r="M1" s="4"/>
      <c r="N1" s="4"/>
      <c r="O1" s="61"/>
      <c r="P1" s="62"/>
      <c r="Q1" s="2"/>
      <c r="R1" s="2"/>
      <c r="S1" s="2"/>
      <c r="T1" s="1"/>
      <c r="U1" s="2"/>
      <c r="V1" s="2"/>
      <c r="W1" s="2"/>
      <c r="X1" s="2"/>
      <c r="Y1" s="2"/>
      <c r="Z1" s="2"/>
      <c r="AA1" s="2"/>
    </row>
    <row r="2" spans="1:27" s="30" customFormat="1" ht="27.75" customHeight="1" x14ac:dyDescent="0.25">
      <c r="A2" s="63"/>
      <c r="B2" s="64"/>
      <c r="C2" s="65" t="s">
        <v>43</v>
      </c>
      <c r="D2" s="65" t="s">
        <v>44</v>
      </c>
      <c r="E2" s="65" t="s">
        <v>45</v>
      </c>
      <c r="F2" s="65" t="s">
        <v>46</v>
      </c>
      <c r="G2" s="65" t="s">
        <v>47</v>
      </c>
      <c r="H2" s="65" t="s">
        <v>48</v>
      </c>
      <c r="I2" s="65" t="s">
        <v>49</v>
      </c>
      <c r="J2" s="65" t="s">
        <v>50</v>
      </c>
      <c r="K2" s="65" t="s">
        <v>51</v>
      </c>
      <c r="L2" s="65" t="s">
        <v>52</v>
      </c>
      <c r="M2" s="66" t="s">
        <v>53</v>
      </c>
      <c r="N2" s="65" t="s">
        <v>54</v>
      </c>
      <c r="O2" s="67"/>
      <c r="P2" s="68" t="s">
        <v>55</v>
      </c>
      <c r="Q2" s="63"/>
      <c r="R2" s="29"/>
      <c r="S2" s="29"/>
      <c r="T2" s="69"/>
      <c r="U2" s="69"/>
      <c r="V2" s="69"/>
      <c r="W2" s="69"/>
      <c r="X2" s="69"/>
      <c r="Y2" s="69"/>
      <c r="Z2" s="69"/>
      <c r="AA2" s="69"/>
    </row>
    <row r="3" spans="1:27" x14ac:dyDescent="0.3">
      <c r="A3" s="15"/>
      <c r="B3" s="70" t="s">
        <v>56</v>
      </c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3"/>
      <c r="Q3" s="10"/>
      <c r="R3" s="14"/>
      <c r="S3" s="14"/>
    </row>
    <row r="4" spans="1:27" hidden="1" x14ac:dyDescent="0.3">
      <c r="A4" s="15"/>
      <c r="B4" s="70" t="s">
        <v>57</v>
      </c>
      <c r="C4" s="71">
        <v>0.13</v>
      </c>
      <c r="D4" s="72">
        <v>0.04</v>
      </c>
      <c r="E4" s="72">
        <v>0.08</v>
      </c>
      <c r="F4" s="72">
        <v>0.05</v>
      </c>
      <c r="G4" s="72">
        <v>0.04</v>
      </c>
      <c r="H4" s="73">
        <v>0.05</v>
      </c>
      <c r="I4" s="73">
        <v>7.0000000000000007E-2</v>
      </c>
      <c r="J4" s="73">
        <v>0.1</v>
      </c>
      <c r="K4" s="73">
        <v>0.06</v>
      </c>
      <c r="L4" s="73">
        <v>0.17</v>
      </c>
      <c r="M4" s="73">
        <v>0.16</v>
      </c>
      <c r="N4" s="73">
        <v>0.05</v>
      </c>
      <c r="O4" s="16">
        <f>SUM(C4:N4)</f>
        <v>1</v>
      </c>
      <c r="P4" s="13"/>
      <c r="Q4" s="10"/>
      <c r="R4" s="14"/>
      <c r="S4" s="14"/>
    </row>
    <row r="5" spans="1:27" x14ac:dyDescent="0.3">
      <c r="A5" s="25">
        <v>4010</v>
      </c>
      <c r="B5" s="74" t="s">
        <v>58</v>
      </c>
      <c r="C5" s="75">
        <v>127600</v>
      </c>
      <c r="D5" s="76">
        <v>114200</v>
      </c>
      <c r="E5" s="76">
        <v>98600</v>
      </c>
      <c r="F5" s="76">
        <v>86500</v>
      </c>
      <c r="G5" s="76">
        <v>87900</v>
      </c>
      <c r="H5" s="76">
        <v>78600</v>
      </c>
      <c r="I5" s="76">
        <v>76400</v>
      </c>
      <c r="J5" s="76">
        <v>68600</v>
      </c>
      <c r="K5" s="76">
        <v>92300</v>
      </c>
      <c r="L5" s="76">
        <v>135200</v>
      </c>
      <c r="M5" s="76">
        <v>127600</v>
      </c>
      <c r="N5" s="76">
        <v>116500</v>
      </c>
      <c r="O5" s="77">
        <f>SUM(C5:N5)</f>
        <v>1210000</v>
      </c>
      <c r="P5" s="78">
        <f>SUM(C5:N5)</f>
        <v>1210000</v>
      </c>
      <c r="Q5" s="10"/>
      <c r="R5" s="14"/>
      <c r="S5" s="14"/>
    </row>
    <row r="6" spans="1:27" x14ac:dyDescent="0.3">
      <c r="A6" s="24"/>
      <c r="B6" s="79" t="s">
        <v>59</v>
      </c>
      <c r="C6" s="80">
        <f t="shared" ref="C6:N6" si="0">SUM(C5:C5)</f>
        <v>127600</v>
      </c>
      <c r="D6" s="81">
        <f t="shared" si="0"/>
        <v>114200</v>
      </c>
      <c r="E6" s="81">
        <f t="shared" si="0"/>
        <v>98600</v>
      </c>
      <c r="F6" s="81">
        <f t="shared" si="0"/>
        <v>86500</v>
      </c>
      <c r="G6" s="81">
        <f t="shared" si="0"/>
        <v>87900</v>
      </c>
      <c r="H6" s="81">
        <f t="shared" si="0"/>
        <v>78600</v>
      </c>
      <c r="I6" s="81">
        <f t="shared" si="0"/>
        <v>76400</v>
      </c>
      <c r="J6" s="81">
        <f t="shared" si="0"/>
        <v>68600</v>
      </c>
      <c r="K6" s="81">
        <f t="shared" si="0"/>
        <v>92300</v>
      </c>
      <c r="L6" s="81">
        <f t="shared" si="0"/>
        <v>135200</v>
      </c>
      <c r="M6" s="81">
        <f t="shared" si="0"/>
        <v>127600</v>
      </c>
      <c r="N6" s="81">
        <f t="shared" si="0"/>
        <v>116500</v>
      </c>
      <c r="O6" s="82">
        <f>SUM(C6:N6)</f>
        <v>1210000</v>
      </c>
      <c r="P6" s="83">
        <f>SUM(P5:P5)</f>
        <v>1210000</v>
      </c>
      <c r="Q6" s="1"/>
      <c r="R6" s="2"/>
      <c r="S6" s="2"/>
    </row>
    <row r="7" spans="1:27" hidden="1" x14ac:dyDescent="0.3">
      <c r="A7" s="61"/>
      <c r="B7" s="84" t="s">
        <v>60</v>
      </c>
      <c r="C7" s="85" t="e">
        <f>SUM(C$39+C$44)/#REF!</f>
        <v>#REF!</v>
      </c>
      <c r="D7" s="19" t="e">
        <f>SUM(D$39+D$44)/#REF!</f>
        <v>#REF!</v>
      </c>
      <c r="E7" s="19" t="e">
        <f>SUM(E$39+E$44)/#REF!</f>
        <v>#REF!</v>
      </c>
      <c r="F7" s="19" t="e">
        <f>SUM(F$39+F$44)/#REF!</f>
        <v>#REF!</v>
      </c>
      <c r="G7" s="19" t="e">
        <f>SUM(G$39+G$44)/#REF!</f>
        <v>#REF!</v>
      </c>
      <c r="H7" s="19" t="e">
        <f>SUM(H$39+H$44)/#REF!</f>
        <v>#REF!</v>
      </c>
      <c r="I7" s="19" t="e">
        <f>SUM(I$39+I$44)/#REF!</f>
        <v>#REF!</v>
      </c>
      <c r="J7" s="19" t="e">
        <f>SUM(J$39+J$44)/#REF!</f>
        <v>#REF!</v>
      </c>
      <c r="K7" s="19" t="e">
        <f>SUM(K$39+K$44)/#REF!</f>
        <v>#REF!</v>
      </c>
      <c r="L7" s="19" t="e">
        <f>SUM(L$39+L$44)/#REF!</f>
        <v>#REF!</v>
      </c>
      <c r="M7" s="19" t="e">
        <f>SUM(M$39+M$44)/#REF!</f>
        <v>#REF!</v>
      </c>
      <c r="N7" s="19" t="e">
        <f>SUM(N$39+N$44)/#REF!</f>
        <v>#REF!</v>
      </c>
      <c r="O7" s="20" t="e">
        <f>SUM(O$39+O$44)/#REF!</f>
        <v>#REF!</v>
      </c>
      <c r="P7" s="86" t="e">
        <f>SUM(P$39+P$44)/#REF!</f>
        <v>#REF!</v>
      </c>
      <c r="Q7" s="21"/>
      <c r="R7" s="4"/>
      <c r="S7" s="4"/>
      <c r="T7" s="21"/>
      <c r="U7" s="4"/>
      <c r="V7" s="4"/>
      <c r="W7" s="4"/>
      <c r="X7" s="4"/>
      <c r="Y7" s="4"/>
      <c r="Z7" s="4"/>
      <c r="AA7" s="4"/>
    </row>
    <row r="8" spans="1:27" x14ac:dyDescent="0.3">
      <c r="A8" s="18"/>
      <c r="B8" s="87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  <c r="Q8" s="4"/>
      <c r="R8" s="4"/>
      <c r="S8" s="4"/>
      <c r="T8" s="21"/>
      <c r="U8" s="4"/>
      <c r="V8" s="4"/>
      <c r="W8" s="4"/>
      <c r="X8" s="4"/>
      <c r="Y8" s="4"/>
      <c r="Z8" s="4"/>
      <c r="AA8" s="4"/>
    </row>
    <row r="9" spans="1:27" x14ac:dyDescent="0.3">
      <c r="A9" s="17"/>
      <c r="B9" s="88" t="s">
        <v>61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7"/>
      <c r="P9" s="8"/>
      <c r="Q9" s="2"/>
      <c r="R9" s="2"/>
      <c r="S9" s="2"/>
      <c r="T9" s="1"/>
      <c r="U9" s="2"/>
      <c r="V9" s="2"/>
      <c r="W9" s="2"/>
      <c r="X9" s="2"/>
      <c r="Y9" s="2"/>
      <c r="Z9" s="2"/>
      <c r="AA9" s="2"/>
    </row>
    <row r="10" spans="1:27" x14ac:dyDescent="0.3">
      <c r="A10" s="17">
        <v>5110</v>
      </c>
      <c r="B10" s="89" t="s">
        <v>62</v>
      </c>
      <c r="C10" s="76">
        <v>62550</v>
      </c>
      <c r="D10" s="76">
        <v>51000</v>
      </c>
      <c r="E10" s="76">
        <v>23100</v>
      </c>
      <c r="F10" s="76">
        <v>18250</v>
      </c>
      <c r="G10" s="76">
        <v>9600</v>
      </c>
      <c r="H10" s="76">
        <v>13250</v>
      </c>
      <c r="I10" s="76">
        <v>30550</v>
      </c>
      <c r="J10" s="76">
        <v>68500</v>
      </c>
      <c r="K10" s="76">
        <v>86400</v>
      </c>
      <c r="L10" s="76">
        <v>23400</v>
      </c>
      <c r="M10" s="76">
        <v>48500</v>
      </c>
      <c r="N10" s="76">
        <v>39700</v>
      </c>
      <c r="O10" s="90">
        <f>SUM(C10:N10)</f>
        <v>474800</v>
      </c>
      <c r="P10" s="78">
        <f>SUM(O10)</f>
        <v>474800</v>
      </c>
      <c r="Q10" s="1"/>
      <c r="R10" s="2"/>
      <c r="S10" s="2"/>
    </row>
    <row r="11" spans="1:27" x14ac:dyDescent="0.3">
      <c r="A11" s="17">
        <v>5120</v>
      </c>
      <c r="B11" s="89" t="s">
        <v>63</v>
      </c>
      <c r="C11" s="91">
        <f t="shared" ref="C11:J11" si="1">SUM($P11*C$4)</f>
        <v>7215</v>
      </c>
      <c r="D11" s="91">
        <f t="shared" si="1"/>
        <v>2220</v>
      </c>
      <c r="E11" s="91">
        <f t="shared" si="1"/>
        <v>4440</v>
      </c>
      <c r="F11" s="91">
        <f t="shared" si="1"/>
        <v>2775</v>
      </c>
      <c r="G11" s="91">
        <f t="shared" si="1"/>
        <v>2220</v>
      </c>
      <c r="H11" s="91">
        <f t="shared" si="1"/>
        <v>2775</v>
      </c>
      <c r="I11" s="91">
        <f t="shared" si="1"/>
        <v>3885.0000000000005</v>
      </c>
      <c r="J11" s="91">
        <f t="shared" si="1"/>
        <v>5550</v>
      </c>
      <c r="K11" s="91">
        <v>5330</v>
      </c>
      <c r="L11" s="91">
        <v>7435</v>
      </c>
      <c r="M11" s="91">
        <f>SUM($P11*M$4)</f>
        <v>8880</v>
      </c>
      <c r="N11" s="91">
        <f>SUM($P11*N$4)</f>
        <v>2775</v>
      </c>
      <c r="O11" s="90">
        <f>SUM(C11:N11)</f>
        <v>55500</v>
      </c>
      <c r="P11" s="78">
        <v>55500</v>
      </c>
      <c r="Q11" s="1"/>
      <c r="R11" s="2"/>
      <c r="S11" s="2"/>
    </row>
    <row r="12" spans="1:27" x14ac:dyDescent="0.3">
      <c r="A12" s="17">
        <v>5140</v>
      </c>
      <c r="B12" s="89" t="s">
        <v>64</v>
      </c>
      <c r="C12" s="91">
        <v>9630</v>
      </c>
      <c r="D12" s="91">
        <v>10300</v>
      </c>
      <c r="E12" s="91">
        <v>6400</v>
      </c>
      <c r="F12" s="91">
        <v>5280</v>
      </c>
      <c r="G12" s="91">
        <v>7740</v>
      </c>
      <c r="H12" s="91">
        <v>5300</v>
      </c>
      <c r="I12" s="91">
        <v>3250</v>
      </c>
      <c r="J12" s="91">
        <v>7550</v>
      </c>
      <c r="K12" s="91">
        <v>12600</v>
      </c>
      <c r="L12" s="91">
        <v>10670</v>
      </c>
      <c r="M12" s="91">
        <v>8200</v>
      </c>
      <c r="N12" s="91">
        <v>9750</v>
      </c>
      <c r="O12" s="90">
        <f>SUM(C12:N12)</f>
        <v>96670</v>
      </c>
      <c r="P12" s="78">
        <f>SUM(C12:N12)</f>
        <v>96670</v>
      </c>
      <c r="Q12" s="1"/>
      <c r="R12" s="2"/>
      <c r="S12" s="2"/>
    </row>
    <row r="13" spans="1:27" x14ac:dyDescent="0.3">
      <c r="A13" s="17">
        <v>5160</v>
      </c>
      <c r="B13" t="s">
        <v>65</v>
      </c>
      <c r="C13" s="91">
        <f>SUM($P13*C$4)</f>
        <v>6305</v>
      </c>
      <c r="D13" s="91">
        <f>SUM($P13*D$4)</f>
        <v>1940</v>
      </c>
      <c r="E13" s="91">
        <f>SUM($P13*E$4)</f>
        <v>3880</v>
      </c>
      <c r="F13" s="91">
        <v>1425</v>
      </c>
      <c r="G13" s="91">
        <v>2840</v>
      </c>
      <c r="H13" s="91">
        <v>3395</v>
      </c>
      <c r="I13" s="91">
        <v>2525</v>
      </c>
      <c r="J13" s="91">
        <f>SUM($P13*J$4)</f>
        <v>4850</v>
      </c>
      <c r="K13" s="91">
        <f>SUM($P13*K$4)</f>
        <v>2910</v>
      </c>
      <c r="L13" s="91">
        <f>SUM($P13*L$4)</f>
        <v>8245</v>
      </c>
      <c r="M13" s="91">
        <f>SUM($P13*M$4)</f>
        <v>7760</v>
      </c>
      <c r="N13" s="91">
        <f>SUM($P13*N$4)</f>
        <v>2425</v>
      </c>
      <c r="O13" s="90">
        <f>SUM(C13:N13)</f>
        <v>48500</v>
      </c>
      <c r="P13" s="92">
        <v>48500</v>
      </c>
      <c r="Q13" s="1"/>
      <c r="R13" s="2"/>
      <c r="S13" s="2"/>
    </row>
    <row r="14" spans="1:27" x14ac:dyDescent="0.3">
      <c r="A14" s="17"/>
      <c r="B14" s="93" t="s">
        <v>66</v>
      </c>
      <c r="C14" s="94">
        <f t="shared" ref="C14:N14" si="2">SUM(C10:C13)</f>
        <v>85700</v>
      </c>
      <c r="D14" s="94">
        <f t="shared" si="2"/>
        <v>65460</v>
      </c>
      <c r="E14" s="94">
        <f t="shared" si="2"/>
        <v>37820</v>
      </c>
      <c r="F14" s="94">
        <f t="shared" si="2"/>
        <v>27730</v>
      </c>
      <c r="G14" s="94">
        <f t="shared" si="2"/>
        <v>22400</v>
      </c>
      <c r="H14" s="94">
        <f t="shared" si="2"/>
        <v>24720</v>
      </c>
      <c r="I14" s="94">
        <f t="shared" si="2"/>
        <v>40210</v>
      </c>
      <c r="J14" s="94">
        <f t="shared" si="2"/>
        <v>86450</v>
      </c>
      <c r="K14" s="94">
        <f t="shared" si="2"/>
        <v>107240</v>
      </c>
      <c r="L14" s="94">
        <f t="shared" si="2"/>
        <v>49750</v>
      </c>
      <c r="M14" s="94">
        <f t="shared" si="2"/>
        <v>73340</v>
      </c>
      <c r="N14" s="94">
        <f t="shared" si="2"/>
        <v>54650</v>
      </c>
      <c r="O14" s="95"/>
      <c r="P14" s="83">
        <f>SUM(P10:P13)</f>
        <v>675470</v>
      </c>
      <c r="Q14" s="1"/>
      <c r="R14" s="2"/>
      <c r="S14" s="2"/>
    </row>
    <row r="15" spans="1:27" x14ac:dyDescent="0.3">
      <c r="A15" s="18"/>
      <c r="B15" s="96" t="s">
        <v>67</v>
      </c>
      <c r="C15" s="97">
        <f t="shared" ref="C15:P15" si="3">SUM(C6-C14)</f>
        <v>41900</v>
      </c>
      <c r="D15" s="97">
        <f t="shared" si="3"/>
        <v>48740</v>
      </c>
      <c r="E15" s="97">
        <f t="shared" si="3"/>
        <v>60780</v>
      </c>
      <c r="F15" s="97">
        <f t="shared" si="3"/>
        <v>58770</v>
      </c>
      <c r="G15" s="97">
        <f t="shared" si="3"/>
        <v>65500</v>
      </c>
      <c r="H15" s="97">
        <f t="shared" si="3"/>
        <v>53880</v>
      </c>
      <c r="I15" s="97">
        <f t="shared" si="3"/>
        <v>36190</v>
      </c>
      <c r="J15" s="97">
        <f t="shared" si="3"/>
        <v>-17850</v>
      </c>
      <c r="K15" s="97">
        <f t="shared" si="3"/>
        <v>-14940</v>
      </c>
      <c r="L15" s="97">
        <f t="shared" si="3"/>
        <v>85450</v>
      </c>
      <c r="M15" s="97">
        <f t="shared" si="3"/>
        <v>54260</v>
      </c>
      <c r="N15" s="97">
        <f t="shared" si="3"/>
        <v>61850</v>
      </c>
      <c r="O15" s="97">
        <f t="shared" si="3"/>
        <v>1210000</v>
      </c>
      <c r="P15" s="97">
        <f t="shared" si="3"/>
        <v>534530</v>
      </c>
      <c r="Q15" s="4"/>
      <c r="R15" s="4"/>
      <c r="S15" s="4"/>
      <c r="T15" s="12"/>
      <c r="U15" s="12"/>
      <c r="V15" s="12"/>
      <c r="W15" s="12"/>
      <c r="X15" s="12"/>
      <c r="Y15" s="12"/>
      <c r="Z15" s="12"/>
      <c r="AA15" s="12"/>
    </row>
    <row r="16" spans="1:27" x14ac:dyDescent="0.3">
      <c r="A16" s="25"/>
      <c r="B16" s="98" t="s">
        <v>68</v>
      </c>
      <c r="C16" s="99">
        <f t="shared" ref="C16:P16" si="4">C15/C5</f>
        <v>0.32836990595611287</v>
      </c>
      <c r="D16" s="99">
        <f t="shared" si="4"/>
        <v>0.42679509632224166</v>
      </c>
      <c r="E16" s="99">
        <f t="shared" si="4"/>
        <v>0.61643002028397564</v>
      </c>
      <c r="F16" s="99">
        <f t="shared" si="4"/>
        <v>0.6794219653179191</v>
      </c>
      <c r="G16" s="99">
        <f t="shared" si="4"/>
        <v>0.74516496018202505</v>
      </c>
      <c r="H16" s="99">
        <f t="shared" si="4"/>
        <v>0.68549618320610683</v>
      </c>
      <c r="I16" s="99">
        <f t="shared" si="4"/>
        <v>0.47369109947643978</v>
      </c>
      <c r="J16" s="99">
        <f t="shared" si="4"/>
        <v>-0.26020408163265307</v>
      </c>
      <c r="K16" s="99">
        <f t="shared" si="4"/>
        <v>-0.161863488624052</v>
      </c>
      <c r="L16" s="99">
        <f t="shared" si="4"/>
        <v>0.63202662721893488</v>
      </c>
      <c r="M16" s="99">
        <f t="shared" si="4"/>
        <v>0.42523510971786832</v>
      </c>
      <c r="N16" s="99">
        <f t="shared" si="4"/>
        <v>0.53090128755364807</v>
      </c>
      <c r="O16" s="99">
        <f t="shared" si="4"/>
        <v>1</v>
      </c>
      <c r="P16" s="99">
        <f t="shared" si="4"/>
        <v>0.44176033057851238</v>
      </c>
      <c r="Q16" s="10"/>
      <c r="R16" s="14"/>
      <c r="S16" s="14"/>
    </row>
    <row r="17" spans="1:19" x14ac:dyDescent="0.3">
      <c r="A17" s="25"/>
      <c r="B17" s="59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  <c r="Q17" s="2"/>
      <c r="R17" s="14"/>
      <c r="S17" s="14"/>
    </row>
    <row r="18" spans="1:19" x14ac:dyDescent="0.3">
      <c r="A18" s="24"/>
      <c r="B18" s="79" t="s">
        <v>69</v>
      </c>
      <c r="C18" s="9"/>
      <c r="D18" s="5"/>
      <c r="E18" s="5"/>
      <c r="F18" s="5"/>
      <c r="G18" s="5"/>
      <c r="H18" s="6"/>
      <c r="I18" s="6"/>
      <c r="J18" s="6"/>
      <c r="K18" s="6"/>
      <c r="L18" s="6"/>
      <c r="M18" s="6"/>
      <c r="N18" s="6"/>
      <c r="O18" s="6"/>
      <c r="P18" s="8"/>
      <c r="Q18" s="2"/>
      <c r="R18" s="2"/>
      <c r="S18" s="2"/>
    </row>
    <row r="19" spans="1:19" x14ac:dyDescent="0.3">
      <c r="A19" s="24">
        <v>6110</v>
      </c>
      <c r="B19" s="100" t="s">
        <v>70</v>
      </c>
      <c r="C19" s="101">
        <v>3667</v>
      </c>
      <c r="D19" s="102">
        <v>3667</v>
      </c>
      <c r="E19" s="102">
        <v>3667</v>
      </c>
      <c r="F19" s="102">
        <v>3667</v>
      </c>
      <c r="G19" s="102">
        <v>3667</v>
      </c>
      <c r="H19" s="102">
        <v>3667</v>
      </c>
      <c r="I19" s="102">
        <v>3667</v>
      </c>
      <c r="J19" s="102">
        <v>3667</v>
      </c>
      <c r="K19" s="102">
        <v>3667</v>
      </c>
      <c r="L19" s="102">
        <v>3667</v>
      </c>
      <c r="M19" s="102">
        <v>3667</v>
      </c>
      <c r="N19" s="102">
        <v>3667</v>
      </c>
      <c r="O19" s="90">
        <f t="shared" ref="O19:O38" si="5">SUM(C19:N19)</f>
        <v>44004</v>
      </c>
      <c r="P19" s="78">
        <v>44004</v>
      </c>
      <c r="Q19" s="103"/>
      <c r="R19" s="2"/>
      <c r="S19" s="2"/>
    </row>
    <row r="20" spans="1:19" x14ac:dyDescent="0.3">
      <c r="A20" s="17">
        <v>6120</v>
      </c>
      <c r="B20" s="104" t="s">
        <v>71</v>
      </c>
      <c r="C20" s="91">
        <f t="shared" ref="C20:N20" si="6">SUM($P20*C$4)</f>
        <v>910</v>
      </c>
      <c r="D20" s="91">
        <f t="shared" si="6"/>
        <v>280</v>
      </c>
      <c r="E20" s="91">
        <f t="shared" si="6"/>
        <v>560</v>
      </c>
      <c r="F20" s="91">
        <f t="shared" si="6"/>
        <v>350</v>
      </c>
      <c r="G20" s="91">
        <f t="shared" si="6"/>
        <v>280</v>
      </c>
      <c r="H20" s="91">
        <f t="shared" si="6"/>
        <v>350</v>
      </c>
      <c r="I20" s="91">
        <f t="shared" si="6"/>
        <v>490.00000000000006</v>
      </c>
      <c r="J20" s="91">
        <f t="shared" si="6"/>
        <v>700</v>
      </c>
      <c r="K20" s="91">
        <f t="shared" si="6"/>
        <v>420</v>
      </c>
      <c r="L20" s="91">
        <f t="shared" si="6"/>
        <v>1190</v>
      </c>
      <c r="M20" s="91">
        <f t="shared" si="6"/>
        <v>1120</v>
      </c>
      <c r="N20" s="91">
        <f t="shared" si="6"/>
        <v>350</v>
      </c>
      <c r="O20" s="90">
        <f t="shared" si="5"/>
        <v>7000</v>
      </c>
      <c r="P20" s="78">
        <v>7000</v>
      </c>
      <c r="Q20" s="1"/>
      <c r="R20" s="2"/>
      <c r="S20" s="2"/>
    </row>
    <row r="21" spans="1:19" x14ac:dyDescent="0.3">
      <c r="A21" s="17">
        <v>6130</v>
      </c>
      <c r="B21" s="105" t="s">
        <v>72</v>
      </c>
      <c r="C21" s="102">
        <v>120</v>
      </c>
      <c r="D21" s="102">
        <v>160</v>
      </c>
      <c r="E21" s="102">
        <v>230</v>
      </c>
      <c r="F21" s="102">
        <v>270</v>
      </c>
      <c r="G21" s="102">
        <v>290</v>
      </c>
      <c r="H21" s="102">
        <v>350</v>
      </c>
      <c r="I21" s="102">
        <v>470</v>
      </c>
      <c r="J21" s="102">
        <v>750</v>
      </c>
      <c r="K21" s="102">
        <v>1100</v>
      </c>
      <c r="L21" s="102">
        <v>3100</v>
      </c>
      <c r="M21" s="102">
        <v>2130</v>
      </c>
      <c r="N21" s="102">
        <v>2030</v>
      </c>
      <c r="O21" s="90">
        <f t="shared" si="5"/>
        <v>11000</v>
      </c>
      <c r="P21" s="78">
        <f>SUM(C21:N21)</f>
        <v>11000</v>
      </c>
      <c r="Q21" s="1"/>
      <c r="R21" s="2"/>
      <c r="S21" s="2"/>
    </row>
    <row r="22" spans="1:19" x14ac:dyDescent="0.3">
      <c r="A22" s="17">
        <v>6140</v>
      </c>
      <c r="B22" s="105" t="s">
        <v>73</v>
      </c>
      <c r="C22" s="102">
        <f t="shared" ref="C22:N22" si="7">$P22/12</f>
        <v>1083.3333333333333</v>
      </c>
      <c r="D22" s="102">
        <f t="shared" si="7"/>
        <v>1083.3333333333333</v>
      </c>
      <c r="E22" s="102">
        <f t="shared" si="7"/>
        <v>1083.3333333333333</v>
      </c>
      <c r="F22" s="102">
        <f t="shared" si="7"/>
        <v>1083.3333333333333</v>
      </c>
      <c r="G22" s="102">
        <f t="shared" si="7"/>
        <v>1083.3333333333333</v>
      </c>
      <c r="H22" s="102">
        <f t="shared" si="7"/>
        <v>1083.3333333333333</v>
      </c>
      <c r="I22" s="102">
        <f t="shared" si="7"/>
        <v>1083.3333333333333</v>
      </c>
      <c r="J22" s="102">
        <f t="shared" si="7"/>
        <v>1083.3333333333333</v>
      </c>
      <c r="K22" s="102">
        <f t="shared" si="7"/>
        <v>1083.3333333333333</v>
      </c>
      <c r="L22" s="102">
        <f t="shared" si="7"/>
        <v>1083.3333333333333</v>
      </c>
      <c r="M22" s="102">
        <f t="shared" si="7"/>
        <v>1083.3333333333333</v>
      </c>
      <c r="N22" s="102">
        <f t="shared" si="7"/>
        <v>1083.3333333333333</v>
      </c>
      <c r="O22" s="90">
        <f t="shared" si="5"/>
        <v>13000.000000000002</v>
      </c>
      <c r="P22" s="78">
        <v>13000</v>
      </c>
      <c r="Q22" s="1"/>
      <c r="R22" s="2"/>
      <c r="S22" s="2"/>
    </row>
    <row r="23" spans="1:19" x14ac:dyDescent="0.3">
      <c r="A23" s="17">
        <v>6150</v>
      </c>
      <c r="B23" s="105" t="s">
        <v>74</v>
      </c>
      <c r="C23" s="102">
        <v>1250</v>
      </c>
      <c r="D23" s="102">
        <v>1150</v>
      </c>
      <c r="E23" s="102">
        <v>1150</v>
      </c>
      <c r="F23" s="102">
        <v>850</v>
      </c>
      <c r="G23" s="102">
        <v>700</v>
      </c>
      <c r="H23" s="102">
        <v>1050</v>
      </c>
      <c r="I23" s="102">
        <v>1300</v>
      </c>
      <c r="J23" s="102">
        <v>1350</v>
      </c>
      <c r="K23" s="102">
        <v>1000</v>
      </c>
      <c r="L23" s="102">
        <v>900</v>
      </c>
      <c r="M23" s="102">
        <v>1100</v>
      </c>
      <c r="N23" s="102">
        <v>1200</v>
      </c>
      <c r="O23" s="90">
        <f t="shared" si="5"/>
        <v>13000</v>
      </c>
      <c r="P23" s="78">
        <v>13000</v>
      </c>
      <c r="Q23" s="1"/>
      <c r="R23" s="2"/>
      <c r="S23" s="2"/>
    </row>
    <row r="24" spans="1:19" x14ac:dyDescent="0.3">
      <c r="A24" s="17">
        <v>6160</v>
      </c>
      <c r="B24" s="105" t="s">
        <v>75</v>
      </c>
      <c r="C24" s="102">
        <v>1200</v>
      </c>
      <c r="D24" s="102">
        <v>800</v>
      </c>
      <c r="E24" s="102">
        <v>900</v>
      </c>
      <c r="F24" s="102">
        <v>1100</v>
      </c>
      <c r="G24" s="102">
        <v>500</v>
      </c>
      <c r="H24" s="102">
        <v>1500</v>
      </c>
      <c r="I24" s="102">
        <f>$P24/12</f>
        <v>1000</v>
      </c>
      <c r="J24" s="102">
        <f>$P24/12</f>
        <v>1000</v>
      </c>
      <c r="K24" s="102">
        <v>700</v>
      </c>
      <c r="L24" s="102">
        <v>1300</v>
      </c>
      <c r="M24" s="102">
        <v>1100</v>
      </c>
      <c r="N24" s="102">
        <v>900</v>
      </c>
      <c r="O24" s="90">
        <f t="shared" si="5"/>
        <v>12000</v>
      </c>
      <c r="P24" s="78">
        <v>12000</v>
      </c>
      <c r="Q24" s="1"/>
      <c r="R24" s="2"/>
      <c r="S24" s="2"/>
    </row>
    <row r="25" spans="1:19" x14ac:dyDescent="0.3">
      <c r="A25" s="17">
        <v>6170</v>
      </c>
      <c r="B25" s="89" t="s">
        <v>76</v>
      </c>
      <c r="C25" s="91">
        <f t="shared" ref="C25:N25" si="8">SUM($P25*C$4)</f>
        <v>2470</v>
      </c>
      <c r="D25" s="91">
        <f t="shared" si="8"/>
        <v>760</v>
      </c>
      <c r="E25" s="91">
        <f t="shared" si="8"/>
        <v>1520</v>
      </c>
      <c r="F25" s="91">
        <f t="shared" si="8"/>
        <v>950</v>
      </c>
      <c r="G25" s="91">
        <f t="shared" si="8"/>
        <v>760</v>
      </c>
      <c r="H25" s="91">
        <f t="shared" si="8"/>
        <v>950</v>
      </c>
      <c r="I25" s="91">
        <f t="shared" si="8"/>
        <v>1330.0000000000002</v>
      </c>
      <c r="J25" s="91">
        <f t="shared" si="8"/>
        <v>1900</v>
      </c>
      <c r="K25" s="91">
        <f t="shared" si="8"/>
        <v>1140</v>
      </c>
      <c r="L25" s="91">
        <f t="shared" si="8"/>
        <v>3230.0000000000005</v>
      </c>
      <c r="M25" s="91">
        <f t="shared" si="8"/>
        <v>3040</v>
      </c>
      <c r="N25" s="91">
        <f t="shared" si="8"/>
        <v>950</v>
      </c>
      <c r="O25" s="90">
        <f t="shared" si="5"/>
        <v>19000</v>
      </c>
      <c r="P25" s="78">
        <v>19000</v>
      </c>
      <c r="Q25" s="1"/>
      <c r="R25" s="2"/>
      <c r="S25" s="2"/>
    </row>
    <row r="26" spans="1:19" x14ac:dyDescent="0.3">
      <c r="A26" s="17">
        <v>6180</v>
      </c>
      <c r="B26" s="105" t="s">
        <v>77</v>
      </c>
      <c r="C26" s="102">
        <f t="shared" ref="C26:N27" si="9">$P26/12</f>
        <v>250</v>
      </c>
      <c r="D26" s="102">
        <f t="shared" si="9"/>
        <v>250</v>
      </c>
      <c r="E26" s="102">
        <f t="shared" si="9"/>
        <v>250</v>
      </c>
      <c r="F26" s="102">
        <f t="shared" si="9"/>
        <v>250</v>
      </c>
      <c r="G26" s="102">
        <f t="shared" si="9"/>
        <v>250</v>
      </c>
      <c r="H26" s="102">
        <f t="shared" si="9"/>
        <v>250</v>
      </c>
      <c r="I26" s="102">
        <f t="shared" si="9"/>
        <v>250</v>
      </c>
      <c r="J26" s="102">
        <f t="shared" si="9"/>
        <v>250</v>
      </c>
      <c r="K26" s="102">
        <f t="shared" si="9"/>
        <v>250</v>
      </c>
      <c r="L26" s="102">
        <f t="shared" si="9"/>
        <v>250</v>
      </c>
      <c r="M26" s="102">
        <f t="shared" si="9"/>
        <v>250</v>
      </c>
      <c r="N26" s="102">
        <f t="shared" si="9"/>
        <v>250</v>
      </c>
      <c r="O26" s="90">
        <f t="shared" si="5"/>
        <v>3000</v>
      </c>
      <c r="P26" s="78">
        <v>3000</v>
      </c>
      <c r="Q26" s="1"/>
      <c r="R26" s="2"/>
      <c r="S26" s="2"/>
    </row>
    <row r="27" spans="1:19" x14ac:dyDescent="0.3">
      <c r="A27" s="17">
        <v>6190</v>
      </c>
      <c r="B27" s="105" t="s">
        <v>78</v>
      </c>
      <c r="C27" s="102">
        <f t="shared" si="9"/>
        <v>250</v>
      </c>
      <c r="D27" s="102">
        <f t="shared" si="9"/>
        <v>250</v>
      </c>
      <c r="E27" s="102">
        <f t="shared" si="9"/>
        <v>250</v>
      </c>
      <c r="F27" s="102">
        <f t="shared" si="9"/>
        <v>250</v>
      </c>
      <c r="G27" s="102">
        <f t="shared" si="9"/>
        <v>250</v>
      </c>
      <c r="H27" s="102">
        <f t="shared" si="9"/>
        <v>250</v>
      </c>
      <c r="I27" s="102">
        <f t="shared" si="9"/>
        <v>250</v>
      </c>
      <c r="J27" s="102">
        <f t="shared" si="9"/>
        <v>250</v>
      </c>
      <c r="K27" s="102">
        <f t="shared" si="9"/>
        <v>250</v>
      </c>
      <c r="L27" s="102">
        <f t="shared" si="9"/>
        <v>250</v>
      </c>
      <c r="M27" s="102">
        <f t="shared" si="9"/>
        <v>250</v>
      </c>
      <c r="N27" s="102">
        <f t="shared" si="9"/>
        <v>250</v>
      </c>
      <c r="O27" s="90">
        <f t="shared" si="5"/>
        <v>3000</v>
      </c>
      <c r="P27" s="78">
        <v>3000</v>
      </c>
      <c r="Q27" s="1"/>
      <c r="R27" s="2"/>
      <c r="S27" s="2"/>
    </row>
    <row r="28" spans="1:19" x14ac:dyDescent="0.3">
      <c r="A28" s="17">
        <v>6200</v>
      </c>
      <c r="B28" s="106" t="s">
        <v>79</v>
      </c>
      <c r="C28" s="91">
        <v>8100</v>
      </c>
      <c r="D28" s="91">
        <v>7300</v>
      </c>
      <c r="E28" s="91">
        <v>7900</v>
      </c>
      <c r="F28" s="91">
        <v>16800</v>
      </c>
      <c r="G28" s="91">
        <v>7200</v>
      </c>
      <c r="H28" s="91">
        <v>8100</v>
      </c>
      <c r="I28" s="91">
        <v>8800</v>
      </c>
      <c r="J28" s="91">
        <v>7200</v>
      </c>
      <c r="K28" s="91">
        <v>8100</v>
      </c>
      <c r="L28" s="91">
        <v>20300</v>
      </c>
      <c r="M28" s="91">
        <v>12600</v>
      </c>
      <c r="N28" s="91">
        <v>7600</v>
      </c>
      <c r="O28" s="90">
        <f t="shared" si="5"/>
        <v>120000</v>
      </c>
      <c r="P28" s="78">
        <f>SUM(C28:N28)</f>
        <v>120000</v>
      </c>
      <c r="Q28" s="1"/>
      <c r="R28" s="2"/>
      <c r="S28" s="2"/>
    </row>
    <row r="29" spans="1:19" x14ac:dyDescent="0.3">
      <c r="A29" s="17">
        <v>6210</v>
      </c>
      <c r="B29" s="89" t="s">
        <v>80</v>
      </c>
      <c r="C29" s="91">
        <f>SUM($P29*C$4)</f>
        <v>1300</v>
      </c>
      <c r="D29" s="91">
        <f>SUM($P29*D$4)</f>
        <v>400</v>
      </c>
      <c r="E29" s="91">
        <f>SUM($P29*E$4)</f>
        <v>800</v>
      </c>
      <c r="F29" s="91">
        <v>900</v>
      </c>
      <c r="G29" s="91">
        <v>0</v>
      </c>
      <c r="H29" s="91">
        <f>SUM($P29*H$4)</f>
        <v>500</v>
      </c>
      <c r="I29" s="91">
        <f>SUM($P29*I$4)</f>
        <v>700.00000000000011</v>
      </c>
      <c r="J29" s="91">
        <v>200</v>
      </c>
      <c r="K29" s="91">
        <v>1400</v>
      </c>
      <c r="L29" s="91">
        <f>SUM($P29*L$4)</f>
        <v>1700.0000000000002</v>
      </c>
      <c r="M29" s="91">
        <f>SUM($P29*M$4)</f>
        <v>1600</v>
      </c>
      <c r="N29" s="91">
        <f>SUM($P29*N$4)</f>
        <v>500</v>
      </c>
      <c r="O29" s="90">
        <f t="shared" si="5"/>
        <v>10000</v>
      </c>
      <c r="P29" s="78">
        <v>10000</v>
      </c>
      <c r="Q29" s="1"/>
      <c r="R29" s="2"/>
      <c r="S29" s="2"/>
    </row>
    <row r="30" spans="1:19" x14ac:dyDescent="0.3">
      <c r="A30" s="17">
        <v>6220</v>
      </c>
      <c r="B30" s="107" t="s">
        <v>81</v>
      </c>
      <c r="C30" s="102">
        <f t="shared" ref="C30:N30" si="10">$P30/12</f>
        <v>4166.666666666667</v>
      </c>
      <c r="D30" s="102">
        <f t="shared" si="10"/>
        <v>4166.666666666667</v>
      </c>
      <c r="E30" s="102">
        <f t="shared" si="10"/>
        <v>4166.666666666667</v>
      </c>
      <c r="F30" s="102">
        <f t="shared" si="10"/>
        <v>4166.666666666667</v>
      </c>
      <c r="G30" s="102">
        <f t="shared" si="10"/>
        <v>4166.666666666667</v>
      </c>
      <c r="H30" s="102">
        <f t="shared" si="10"/>
        <v>4166.666666666667</v>
      </c>
      <c r="I30" s="102">
        <f t="shared" si="10"/>
        <v>4166.666666666667</v>
      </c>
      <c r="J30" s="102">
        <f t="shared" si="10"/>
        <v>4166.666666666667</v>
      </c>
      <c r="K30" s="102">
        <f t="shared" si="10"/>
        <v>4166.666666666667</v>
      </c>
      <c r="L30" s="102">
        <f t="shared" si="10"/>
        <v>4166.666666666667</v>
      </c>
      <c r="M30" s="102">
        <f t="shared" si="10"/>
        <v>4166.666666666667</v>
      </c>
      <c r="N30" s="102">
        <f t="shared" si="10"/>
        <v>4166.666666666667</v>
      </c>
      <c r="O30" s="90">
        <f t="shared" si="5"/>
        <v>49999.999999999993</v>
      </c>
      <c r="P30" s="78">
        <v>50000</v>
      </c>
      <c r="Q30" s="1"/>
      <c r="R30" s="2"/>
      <c r="S30" s="2"/>
    </row>
    <row r="31" spans="1:19" x14ac:dyDescent="0.3">
      <c r="A31" s="17">
        <v>6230</v>
      </c>
      <c r="B31" s="105" t="s">
        <v>82</v>
      </c>
      <c r="C31" s="102">
        <f t="shared" ref="C31:N31" si="11">SUM(C28:C30)*0.0643</f>
        <v>872.3366666666667</v>
      </c>
      <c r="D31" s="102">
        <f t="shared" si="11"/>
        <v>763.02666666666664</v>
      </c>
      <c r="E31" s="102">
        <f t="shared" si="11"/>
        <v>827.32666666666671</v>
      </c>
      <c r="F31" s="102">
        <f t="shared" si="11"/>
        <v>1406.0266666666666</v>
      </c>
      <c r="G31" s="102">
        <f t="shared" si="11"/>
        <v>730.87666666666667</v>
      </c>
      <c r="H31" s="102">
        <f t="shared" si="11"/>
        <v>820.89666666666665</v>
      </c>
      <c r="I31" s="102">
        <f t="shared" si="11"/>
        <v>878.76666666666665</v>
      </c>
      <c r="J31" s="102">
        <f t="shared" si="11"/>
        <v>743.73666666666668</v>
      </c>
      <c r="K31" s="102">
        <f t="shared" si="11"/>
        <v>878.76666666666665</v>
      </c>
      <c r="L31" s="102">
        <f t="shared" si="11"/>
        <v>1682.5166666666667</v>
      </c>
      <c r="M31" s="102">
        <f t="shared" si="11"/>
        <v>1180.9766666666667</v>
      </c>
      <c r="N31" s="102">
        <f t="shared" si="11"/>
        <v>788.74666666666667</v>
      </c>
      <c r="O31" s="90">
        <f t="shared" si="5"/>
        <v>11574</v>
      </c>
      <c r="P31" s="78">
        <v>18004</v>
      </c>
      <c r="Q31" s="1"/>
      <c r="R31" s="2"/>
      <c r="S31" s="2"/>
    </row>
    <row r="32" spans="1:19" x14ac:dyDescent="0.3">
      <c r="A32" s="17">
        <v>6240</v>
      </c>
      <c r="B32" s="105" t="s">
        <v>83</v>
      </c>
      <c r="C32" s="102">
        <f t="shared" ref="C32:N33" si="12">$P32/12</f>
        <v>2250</v>
      </c>
      <c r="D32" s="102">
        <f t="shared" si="12"/>
        <v>2250</v>
      </c>
      <c r="E32" s="102">
        <f t="shared" si="12"/>
        <v>2250</v>
      </c>
      <c r="F32" s="102">
        <f t="shared" si="12"/>
        <v>2250</v>
      </c>
      <c r="G32" s="102">
        <f t="shared" si="12"/>
        <v>2250</v>
      </c>
      <c r="H32" s="102">
        <f t="shared" si="12"/>
        <v>2250</v>
      </c>
      <c r="I32" s="102">
        <f t="shared" si="12"/>
        <v>2250</v>
      </c>
      <c r="J32" s="102">
        <f t="shared" si="12"/>
        <v>2250</v>
      </c>
      <c r="K32" s="102">
        <f t="shared" si="12"/>
        <v>2250</v>
      </c>
      <c r="L32" s="102">
        <f t="shared" si="12"/>
        <v>2250</v>
      </c>
      <c r="M32" s="102">
        <f t="shared" si="12"/>
        <v>2250</v>
      </c>
      <c r="N32" s="102">
        <f t="shared" si="12"/>
        <v>2250</v>
      </c>
      <c r="O32" s="90">
        <f t="shared" si="5"/>
        <v>27000</v>
      </c>
      <c r="P32" s="78">
        <v>27000</v>
      </c>
      <c r="Q32" s="1"/>
      <c r="R32" s="2"/>
      <c r="S32" s="2"/>
    </row>
    <row r="33" spans="1:27" x14ac:dyDescent="0.3">
      <c r="A33" s="17">
        <v>6250</v>
      </c>
      <c r="B33" s="89" t="s">
        <v>84</v>
      </c>
      <c r="C33" s="102">
        <f t="shared" si="12"/>
        <v>400</v>
      </c>
      <c r="D33" s="102">
        <f t="shared" si="12"/>
        <v>400</v>
      </c>
      <c r="E33" s="102">
        <f t="shared" si="12"/>
        <v>400</v>
      </c>
      <c r="F33" s="102">
        <f t="shared" si="12"/>
        <v>400</v>
      </c>
      <c r="G33" s="102">
        <f t="shared" si="12"/>
        <v>400</v>
      </c>
      <c r="H33" s="102">
        <f t="shared" si="12"/>
        <v>400</v>
      </c>
      <c r="I33" s="102">
        <f t="shared" si="12"/>
        <v>400</v>
      </c>
      <c r="J33" s="102">
        <f t="shared" si="12"/>
        <v>400</v>
      </c>
      <c r="K33" s="102">
        <f t="shared" si="12"/>
        <v>400</v>
      </c>
      <c r="L33" s="102">
        <f t="shared" si="12"/>
        <v>400</v>
      </c>
      <c r="M33" s="102">
        <f t="shared" si="12"/>
        <v>400</v>
      </c>
      <c r="N33" s="102">
        <f t="shared" si="12"/>
        <v>400</v>
      </c>
      <c r="O33" s="90">
        <f t="shared" si="5"/>
        <v>4800</v>
      </c>
      <c r="P33" s="78">
        <v>4800</v>
      </c>
      <c r="Q33" s="1"/>
      <c r="R33" s="2"/>
      <c r="S33" s="2"/>
    </row>
    <row r="34" spans="1:27" x14ac:dyDescent="0.3">
      <c r="A34" s="17">
        <v>6260</v>
      </c>
      <c r="B34" s="89" t="s">
        <v>85</v>
      </c>
      <c r="C34" s="102">
        <v>0</v>
      </c>
      <c r="D34" s="102">
        <v>350</v>
      </c>
      <c r="E34" s="102">
        <v>1200</v>
      </c>
      <c r="F34" s="102">
        <v>750</v>
      </c>
      <c r="G34" s="102">
        <v>0</v>
      </c>
      <c r="H34" s="102">
        <v>600</v>
      </c>
      <c r="I34" s="102">
        <v>0</v>
      </c>
      <c r="J34" s="102">
        <v>0</v>
      </c>
      <c r="K34" s="102">
        <v>2800</v>
      </c>
      <c r="L34" s="102">
        <v>0</v>
      </c>
      <c r="M34" s="102">
        <v>300</v>
      </c>
      <c r="N34" s="102">
        <v>0</v>
      </c>
      <c r="O34" s="90">
        <f t="shared" si="5"/>
        <v>6000</v>
      </c>
      <c r="P34" s="78">
        <v>6000</v>
      </c>
      <c r="Q34" s="1"/>
      <c r="R34" s="2"/>
      <c r="S34" s="2"/>
    </row>
    <row r="35" spans="1:27" x14ac:dyDescent="0.3">
      <c r="A35" s="17">
        <v>6270</v>
      </c>
      <c r="B35" s="89" t="s">
        <v>86</v>
      </c>
      <c r="C35" s="91">
        <f t="shared" ref="C35:N35" si="13">SUM($P35*C$4)</f>
        <v>2210</v>
      </c>
      <c r="D35" s="91">
        <f t="shared" si="13"/>
        <v>680</v>
      </c>
      <c r="E35" s="91">
        <f t="shared" si="13"/>
        <v>1360</v>
      </c>
      <c r="F35" s="91">
        <f t="shared" si="13"/>
        <v>850</v>
      </c>
      <c r="G35" s="91">
        <f t="shared" si="13"/>
        <v>680</v>
      </c>
      <c r="H35" s="91">
        <f t="shared" si="13"/>
        <v>850</v>
      </c>
      <c r="I35" s="91">
        <f t="shared" si="13"/>
        <v>1190</v>
      </c>
      <c r="J35" s="91">
        <f t="shared" si="13"/>
        <v>1700</v>
      </c>
      <c r="K35" s="91">
        <f t="shared" si="13"/>
        <v>1020</v>
      </c>
      <c r="L35" s="91">
        <f t="shared" si="13"/>
        <v>2890</v>
      </c>
      <c r="M35" s="91">
        <f t="shared" si="13"/>
        <v>2720</v>
      </c>
      <c r="N35" s="91">
        <f t="shared" si="13"/>
        <v>850</v>
      </c>
      <c r="O35" s="90">
        <f t="shared" si="5"/>
        <v>17000</v>
      </c>
      <c r="P35" s="78">
        <v>17000</v>
      </c>
      <c r="Q35" s="1"/>
      <c r="R35" s="2"/>
      <c r="S35" s="2"/>
    </row>
    <row r="36" spans="1:27" x14ac:dyDescent="0.3">
      <c r="A36" s="17">
        <v>6280</v>
      </c>
      <c r="B36" s="105" t="s">
        <v>87</v>
      </c>
      <c r="C36" s="102">
        <f t="shared" ref="C36:N37" si="14">$P36/12</f>
        <v>1250</v>
      </c>
      <c r="D36" s="102">
        <f t="shared" si="14"/>
        <v>1250</v>
      </c>
      <c r="E36" s="102">
        <f t="shared" si="14"/>
        <v>1250</v>
      </c>
      <c r="F36" s="102">
        <f t="shared" si="14"/>
        <v>1250</v>
      </c>
      <c r="G36" s="102">
        <f t="shared" si="14"/>
        <v>1250</v>
      </c>
      <c r="H36" s="102">
        <f t="shared" si="14"/>
        <v>1250</v>
      </c>
      <c r="I36" s="102">
        <f t="shared" si="14"/>
        <v>1250</v>
      </c>
      <c r="J36" s="102">
        <f t="shared" si="14"/>
        <v>1250</v>
      </c>
      <c r="K36" s="102">
        <f t="shared" si="14"/>
        <v>1250</v>
      </c>
      <c r="L36" s="102">
        <f t="shared" si="14"/>
        <v>1250</v>
      </c>
      <c r="M36" s="102">
        <f t="shared" si="14"/>
        <v>1250</v>
      </c>
      <c r="N36" s="102">
        <f t="shared" si="14"/>
        <v>1250</v>
      </c>
      <c r="O36" s="90">
        <f t="shared" si="5"/>
        <v>15000</v>
      </c>
      <c r="P36" s="92">
        <v>15000</v>
      </c>
      <c r="Q36" s="1"/>
      <c r="R36" s="2"/>
      <c r="S36" s="2"/>
    </row>
    <row r="37" spans="1:27" x14ac:dyDescent="0.3">
      <c r="A37" s="17">
        <v>6290</v>
      </c>
      <c r="B37" s="105" t="s">
        <v>88</v>
      </c>
      <c r="C37" s="108">
        <f t="shared" si="14"/>
        <v>666.66666666666663</v>
      </c>
      <c r="D37" s="108">
        <f t="shared" si="14"/>
        <v>666.66666666666663</v>
      </c>
      <c r="E37" s="108">
        <f t="shared" si="14"/>
        <v>666.66666666666663</v>
      </c>
      <c r="F37" s="108">
        <f t="shared" si="14"/>
        <v>666.66666666666663</v>
      </c>
      <c r="G37" s="108">
        <f t="shared" si="14"/>
        <v>666.66666666666663</v>
      </c>
      <c r="H37" s="108">
        <f t="shared" si="14"/>
        <v>666.66666666666663</v>
      </c>
      <c r="I37" s="108">
        <f t="shared" si="14"/>
        <v>666.66666666666663</v>
      </c>
      <c r="J37" s="108">
        <f t="shared" si="14"/>
        <v>666.66666666666663</v>
      </c>
      <c r="K37" s="108">
        <f t="shared" si="14"/>
        <v>666.66666666666663</v>
      </c>
      <c r="L37" s="108">
        <f t="shared" si="14"/>
        <v>666.66666666666663</v>
      </c>
      <c r="M37" s="108">
        <f t="shared" si="14"/>
        <v>666.66666666666663</v>
      </c>
      <c r="N37" s="108">
        <f t="shared" si="14"/>
        <v>666.66666666666663</v>
      </c>
      <c r="O37" s="90">
        <f t="shared" si="5"/>
        <v>8000.0000000000009</v>
      </c>
      <c r="P37" s="78">
        <v>8000</v>
      </c>
      <c r="Q37" s="1"/>
      <c r="R37" s="2"/>
      <c r="S37" s="2"/>
    </row>
    <row r="38" spans="1:27" x14ac:dyDescent="0.3">
      <c r="A38" s="17">
        <v>6300</v>
      </c>
      <c r="B38" s="109" t="s">
        <v>89</v>
      </c>
      <c r="C38" s="110">
        <v>0</v>
      </c>
      <c r="D38" s="110">
        <v>0</v>
      </c>
      <c r="E38" s="110">
        <v>1700</v>
      </c>
      <c r="F38" s="110">
        <v>0</v>
      </c>
      <c r="G38" s="110">
        <v>0</v>
      </c>
      <c r="H38" s="110">
        <v>2800</v>
      </c>
      <c r="I38" s="110">
        <v>0</v>
      </c>
      <c r="J38" s="110">
        <v>0</v>
      </c>
      <c r="K38" s="110">
        <v>2500</v>
      </c>
      <c r="L38" s="110">
        <v>0</v>
      </c>
      <c r="M38" s="110">
        <v>0</v>
      </c>
      <c r="N38" s="110">
        <v>0</v>
      </c>
      <c r="O38" s="111">
        <f t="shared" si="5"/>
        <v>7000</v>
      </c>
      <c r="P38" s="78">
        <v>7000</v>
      </c>
      <c r="Q38" s="1"/>
      <c r="R38" s="2"/>
      <c r="S38" s="2"/>
    </row>
    <row r="39" spans="1:27" x14ac:dyDescent="0.3">
      <c r="A39" s="17"/>
      <c r="B39" s="112" t="s">
        <v>90</v>
      </c>
      <c r="C39" s="113">
        <f t="shared" ref="C39:P39" si="15">SUM(C19:C38)</f>
        <v>32416.003333333334</v>
      </c>
      <c r="D39" s="113">
        <f t="shared" si="15"/>
        <v>26626.693333333333</v>
      </c>
      <c r="E39" s="113">
        <f t="shared" si="15"/>
        <v>32130.993333333336</v>
      </c>
      <c r="F39" s="113">
        <f t="shared" si="15"/>
        <v>38209.693333333329</v>
      </c>
      <c r="G39" s="113">
        <f t="shared" si="15"/>
        <v>25124.543333333335</v>
      </c>
      <c r="H39" s="113">
        <f t="shared" si="15"/>
        <v>31854.563333333335</v>
      </c>
      <c r="I39" s="113">
        <f t="shared" si="15"/>
        <v>30142.433333333338</v>
      </c>
      <c r="J39" s="113">
        <f t="shared" si="15"/>
        <v>29527.403333333335</v>
      </c>
      <c r="K39" s="113">
        <f t="shared" si="15"/>
        <v>35042.433333333334</v>
      </c>
      <c r="L39" s="113">
        <f t="shared" si="15"/>
        <v>50276.183333333334</v>
      </c>
      <c r="M39" s="113">
        <f t="shared" si="15"/>
        <v>40874.643333333333</v>
      </c>
      <c r="N39" s="113">
        <f t="shared" si="15"/>
        <v>29152.413333333334</v>
      </c>
      <c r="O39" s="114">
        <f t="shared" si="15"/>
        <v>401378</v>
      </c>
      <c r="P39" s="83">
        <f t="shared" si="15"/>
        <v>407808</v>
      </c>
      <c r="Q39" s="1"/>
      <c r="R39" s="2"/>
      <c r="S39" s="2"/>
    </row>
    <row r="40" spans="1:27" x14ac:dyDescent="0.3">
      <c r="A40" s="24"/>
      <c r="B40" s="115" t="s">
        <v>91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7"/>
      <c r="Q40" s="1"/>
      <c r="R40" s="2"/>
      <c r="S40" s="2"/>
    </row>
    <row r="41" spans="1:27" x14ac:dyDescent="0.3">
      <c r="A41" s="24">
        <v>6310</v>
      </c>
      <c r="B41" s="118" t="s">
        <v>92</v>
      </c>
      <c r="C41" s="110">
        <f t="shared" ref="C41:N43" si="16">$P41/12</f>
        <v>1250</v>
      </c>
      <c r="D41" s="110">
        <f t="shared" si="16"/>
        <v>1250</v>
      </c>
      <c r="E41" s="110">
        <f t="shared" si="16"/>
        <v>1250</v>
      </c>
      <c r="F41" s="110">
        <f t="shared" si="16"/>
        <v>1250</v>
      </c>
      <c r="G41" s="110">
        <f t="shared" si="16"/>
        <v>1250</v>
      </c>
      <c r="H41" s="110">
        <f t="shared" si="16"/>
        <v>1250</v>
      </c>
      <c r="I41" s="110">
        <f t="shared" si="16"/>
        <v>1250</v>
      </c>
      <c r="J41" s="110">
        <f t="shared" si="16"/>
        <v>1250</v>
      </c>
      <c r="K41" s="110">
        <f t="shared" si="16"/>
        <v>1250</v>
      </c>
      <c r="L41" s="110">
        <f t="shared" si="16"/>
        <v>1250</v>
      </c>
      <c r="M41" s="110">
        <f t="shared" si="16"/>
        <v>1250</v>
      </c>
      <c r="N41" s="110">
        <f t="shared" si="16"/>
        <v>1250</v>
      </c>
      <c r="O41" s="119">
        <f>SUM(C41:N41)</f>
        <v>15000</v>
      </c>
      <c r="P41" s="78">
        <v>15000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3">
      <c r="A42" s="25">
        <v>6320</v>
      </c>
      <c r="B42" s="118" t="s">
        <v>93</v>
      </c>
      <c r="C42" s="110">
        <f t="shared" si="16"/>
        <v>2500</v>
      </c>
      <c r="D42" s="110">
        <f t="shared" si="16"/>
        <v>2500</v>
      </c>
      <c r="E42" s="110">
        <f t="shared" si="16"/>
        <v>2500</v>
      </c>
      <c r="F42" s="110">
        <f t="shared" si="16"/>
        <v>2500</v>
      </c>
      <c r="G42" s="110">
        <f t="shared" si="16"/>
        <v>2500</v>
      </c>
      <c r="H42" s="110">
        <f t="shared" si="16"/>
        <v>2500</v>
      </c>
      <c r="I42" s="110">
        <f t="shared" si="16"/>
        <v>2500</v>
      </c>
      <c r="J42" s="110">
        <f t="shared" si="16"/>
        <v>2500</v>
      </c>
      <c r="K42" s="110">
        <f t="shared" si="16"/>
        <v>2500</v>
      </c>
      <c r="L42" s="110">
        <f t="shared" si="16"/>
        <v>2500</v>
      </c>
      <c r="M42" s="110">
        <f t="shared" si="16"/>
        <v>2500</v>
      </c>
      <c r="N42" s="110">
        <f t="shared" si="16"/>
        <v>2500</v>
      </c>
      <c r="O42" s="119">
        <f>SUM(C42:N42)</f>
        <v>30000</v>
      </c>
      <c r="P42" s="78">
        <v>30000</v>
      </c>
      <c r="Q42" s="10"/>
      <c r="R42" s="14"/>
      <c r="S42" s="14"/>
    </row>
    <row r="43" spans="1:27" x14ac:dyDescent="0.3">
      <c r="A43" s="24">
        <v>6330</v>
      </c>
      <c r="B43" s="118" t="s">
        <v>94</v>
      </c>
      <c r="C43" s="110">
        <f t="shared" si="16"/>
        <v>1000</v>
      </c>
      <c r="D43" s="110">
        <f t="shared" si="16"/>
        <v>1000</v>
      </c>
      <c r="E43" s="110">
        <f t="shared" si="16"/>
        <v>1000</v>
      </c>
      <c r="F43" s="110">
        <f t="shared" si="16"/>
        <v>1000</v>
      </c>
      <c r="G43" s="110">
        <f t="shared" si="16"/>
        <v>1000</v>
      </c>
      <c r="H43" s="110">
        <f t="shared" si="16"/>
        <v>1000</v>
      </c>
      <c r="I43" s="110">
        <f t="shared" si="16"/>
        <v>1000</v>
      </c>
      <c r="J43" s="110">
        <f t="shared" si="16"/>
        <v>1000</v>
      </c>
      <c r="K43" s="110">
        <f t="shared" si="16"/>
        <v>1000</v>
      </c>
      <c r="L43" s="110">
        <f t="shared" si="16"/>
        <v>1000</v>
      </c>
      <c r="M43" s="110">
        <f t="shared" si="16"/>
        <v>1000</v>
      </c>
      <c r="N43" s="110">
        <f t="shared" si="16"/>
        <v>1000</v>
      </c>
      <c r="O43" s="119">
        <f>SUM(C43:N43)</f>
        <v>12000</v>
      </c>
      <c r="P43" s="78">
        <v>12000</v>
      </c>
      <c r="Q43" s="1"/>
      <c r="R43" s="2"/>
      <c r="S43" s="2"/>
    </row>
    <row r="44" spans="1:27" x14ac:dyDescent="0.3">
      <c r="A44" s="24"/>
      <c r="B44" s="120" t="s">
        <v>95</v>
      </c>
      <c r="C44" s="121">
        <f t="shared" ref="C44:P44" si="17">SUM(C41:C43)</f>
        <v>4750</v>
      </c>
      <c r="D44" s="121">
        <f t="shared" si="17"/>
        <v>4750</v>
      </c>
      <c r="E44" s="121">
        <f t="shared" si="17"/>
        <v>4750</v>
      </c>
      <c r="F44" s="121">
        <f t="shared" si="17"/>
        <v>4750</v>
      </c>
      <c r="G44" s="121">
        <f t="shared" si="17"/>
        <v>4750</v>
      </c>
      <c r="H44" s="121">
        <f t="shared" si="17"/>
        <v>4750</v>
      </c>
      <c r="I44" s="121">
        <f t="shared" si="17"/>
        <v>4750</v>
      </c>
      <c r="J44" s="121">
        <f t="shared" si="17"/>
        <v>4750</v>
      </c>
      <c r="K44" s="121">
        <f t="shared" si="17"/>
        <v>4750</v>
      </c>
      <c r="L44" s="121">
        <f t="shared" si="17"/>
        <v>4750</v>
      </c>
      <c r="M44" s="121">
        <f t="shared" si="17"/>
        <v>4750</v>
      </c>
      <c r="N44" s="121">
        <f t="shared" si="17"/>
        <v>4750</v>
      </c>
      <c r="O44" s="121">
        <f t="shared" si="17"/>
        <v>57000</v>
      </c>
      <c r="P44" s="122">
        <f t="shared" si="17"/>
        <v>57000</v>
      </c>
      <c r="Q44" s="1"/>
      <c r="R44" s="2"/>
      <c r="S44" s="2"/>
    </row>
    <row r="45" spans="1:27" x14ac:dyDescent="0.3">
      <c r="A45" s="24"/>
      <c r="B45" s="120" t="s">
        <v>96</v>
      </c>
      <c r="C45" s="122">
        <f t="shared" ref="C45:P45" si="18">SUM(C39+C44)</f>
        <v>37166.003333333334</v>
      </c>
      <c r="D45" s="122">
        <f t="shared" si="18"/>
        <v>31376.693333333333</v>
      </c>
      <c r="E45" s="122">
        <f t="shared" si="18"/>
        <v>36880.993333333332</v>
      </c>
      <c r="F45" s="122">
        <f t="shared" si="18"/>
        <v>42959.693333333329</v>
      </c>
      <c r="G45" s="122">
        <f t="shared" si="18"/>
        <v>29874.543333333335</v>
      </c>
      <c r="H45" s="122">
        <f t="shared" si="18"/>
        <v>36604.563333333339</v>
      </c>
      <c r="I45" s="122">
        <f t="shared" si="18"/>
        <v>34892.433333333334</v>
      </c>
      <c r="J45" s="122">
        <f t="shared" si="18"/>
        <v>34277.403333333335</v>
      </c>
      <c r="K45" s="122">
        <f t="shared" si="18"/>
        <v>39792.433333333334</v>
      </c>
      <c r="L45" s="122">
        <f t="shared" si="18"/>
        <v>55026.183333333334</v>
      </c>
      <c r="M45" s="122">
        <f t="shared" si="18"/>
        <v>45624.643333333333</v>
      </c>
      <c r="N45" s="122">
        <f t="shared" si="18"/>
        <v>33902.41333333333</v>
      </c>
      <c r="O45" s="122">
        <f t="shared" si="18"/>
        <v>458378</v>
      </c>
      <c r="P45" s="122">
        <f t="shared" si="18"/>
        <v>464808</v>
      </c>
      <c r="Q45" s="1"/>
      <c r="R45" s="2"/>
      <c r="S45" s="2"/>
    </row>
    <row r="46" spans="1:27" x14ac:dyDescent="0.3">
      <c r="A46" s="17"/>
      <c r="B46" s="123" t="s">
        <v>97</v>
      </c>
      <c r="C46" s="97">
        <f t="shared" ref="C46:P46" si="19">C15-C45</f>
        <v>4733.996666666666</v>
      </c>
      <c r="D46" s="97">
        <f t="shared" si="19"/>
        <v>17363.306666666667</v>
      </c>
      <c r="E46" s="97">
        <f t="shared" si="19"/>
        <v>23899.006666666668</v>
      </c>
      <c r="F46" s="97">
        <f t="shared" si="19"/>
        <v>15810.306666666671</v>
      </c>
      <c r="G46" s="97">
        <f t="shared" si="19"/>
        <v>35625.456666666665</v>
      </c>
      <c r="H46" s="97">
        <f t="shared" si="19"/>
        <v>17275.436666666661</v>
      </c>
      <c r="I46" s="97">
        <f t="shared" si="19"/>
        <v>1297.5666666666657</v>
      </c>
      <c r="J46" s="97">
        <f t="shared" si="19"/>
        <v>-52127.403333333335</v>
      </c>
      <c r="K46" s="97">
        <f t="shared" si="19"/>
        <v>-54732.433333333334</v>
      </c>
      <c r="L46" s="97">
        <f t="shared" si="19"/>
        <v>30423.816666666666</v>
      </c>
      <c r="M46" s="97">
        <f t="shared" si="19"/>
        <v>8635.3566666666666</v>
      </c>
      <c r="N46" s="97">
        <f t="shared" si="19"/>
        <v>27947.58666666667</v>
      </c>
      <c r="O46" s="97">
        <f t="shared" si="19"/>
        <v>751622</v>
      </c>
      <c r="P46" s="97">
        <f t="shared" si="19"/>
        <v>69722</v>
      </c>
      <c r="Q46" s="1"/>
      <c r="R46" s="2"/>
      <c r="S46" s="2"/>
    </row>
    <row r="47" spans="1:27" x14ac:dyDescent="0.3">
      <c r="A47" s="17"/>
      <c r="B47" s="124" t="s">
        <v>98</v>
      </c>
      <c r="C47" s="125">
        <f t="shared" ref="C47:N47" si="20">SUM(C46/C6)</f>
        <v>3.7100287356321836E-2</v>
      </c>
      <c r="D47" s="125">
        <f t="shared" si="20"/>
        <v>0.15204296555750146</v>
      </c>
      <c r="E47" s="125">
        <f t="shared" si="20"/>
        <v>0.24238343475321164</v>
      </c>
      <c r="F47" s="125">
        <f t="shared" si="20"/>
        <v>0.18277811175337191</v>
      </c>
      <c r="G47" s="125">
        <f t="shared" si="20"/>
        <v>0.40529529768676525</v>
      </c>
      <c r="H47" s="125">
        <f t="shared" si="20"/>
        <v>0.21978927056827813</v>
      </c>
      <c r="I47" s="125">
        <f t="shared" si="20"/>
        <v>1.6983856893542745E-2</v>
      </c>
      <c r="J47" s="125">
        <f t="shared" si="20"/>
        <v>-0.75987468415937809</v>
      </c>
      <c r="K47" s="125">
        <f t="shared" si="20"/>
        <v>-0.59298410978692673</v>
      </c>
      <c r="L47" s="125">
        <f t="shared" si="20"/>
        <v>0.22502822978303746</v>
      </c>
      <c r="M47" s="125">
        <f t="shared" si="20"/>
        <v>6.767520898641588E-2</v>
      </c>
      <c r="N47" s="125">
        <f t="shared" si="20"/>
        <v>0.23989344778254651</v>
      </c>
      <c r="O47" s="125"/>
      <c r="P47" s="125">
        <f>SUM(P46/P6)</f>
        <v>5.7621487603305786E-2</v>
      </c>
      <c r="Q47" s="2"/>
      <c r="R47" s="2"/>
      <c r="S47" s="2"/>
    </row>
    <row r="48" spans="1:27" hidden="1" x14ac:dyDescent="0.3">
      <c r="A48" s="24"/>
      <c r="B48" s="126" t="s">
        <v>60</v>
      </c>
      <c r="C48" s="19" t="e">
        <f>SUM(C$39+C$44)/#REF!</f>
        <v>#REF!</v>
      </c>
      <c r="D48" s="19" t="e">
        <f>SUM(D$39+D$44)/#REF!</f>
        <v>#REF!</v>
      </c>
      <c r="E48" s="19" t="e">
        <f>SUM(E$39+E$44)/#REF!</f>
        <v>#REF!</v>
      </c>
      <c r="F48" s="19" t="e">
        <f>SUM(F$39+F$44)/#REF!</f>
        <v>#REF!</v>
      </c>
      <c r="G48" s="19" t="e">
        <f>SUM(G$39+G$44)/#REF!</f>
        <v>#REF!</v>
      </c>
      <c r="H48" s="19" t="e">
        <f>SUM(H$39+H$44)/#REF!</f>
        <v>#REF!</v>
      </c>
      <c r="I48" s="19" t="e">
        <f>SUM(I$39+I$44)/#REF!</f>
        <v>#REF!</v>
      </c>
      <c r="J48" s="19" t="e">
        <f>SUM(J$39+J$44)/#REF!</f>
        <v>#REF!</v>
      </c>
      <c r="K48" s="19" t="e">
        <f>SUM(K$39+K$44)/#REF!</f>
        <v>#REF!</v>
      </c>
      <c r="L48" s="19" t="e">
        <f>SUM(L$39+L$44)/#REF!</f>
        <v>#REF!</v>
      </c>
      <c r="M48" s="19" t="e">
        <f>SUM(M$39+M$44)/#REF!</f>
        <v>#REF!</v>
      </c>
      <c r="N48" s="19" t="e">
        <f>SUM(N$39+N$44)/#REF!</f>
        <v>#REF!</v>
      </c>
      <c r="O48" s="19" t="e">
        <f>SUM(O$39+O$44)/#REF!</f>
        <v>#REF!</v>
      </c>
      <c r="P48" s="20" t="e">
        <f>SUM(P$39+P$44)/#REF!</f>
        <v>#REF!</v>
      </c>
      <c r="Q48" s="2"/>
      <c r="R48" s="2"/>
      <c r="S48" s="2"/>
    </row>
    <row r="49" spans="1:27" x14ac:dyDescent="0.3">
      <c r="A49" s="24"/>
      <c r="B49" s="6"/>
      <c r="C49" s="5"/>
      <c r="D49" s="5"/>
      <c r="E49" s="5"/>
      <c r="F49" s="5"/>
      <c r="G49" s="5"/>
      <c r="H49" s="6"/>
      <c r="I49" s="6"/>
      <c r="J49" s="6"/>
      <c r="K49" s="6"/>
      <c r="L49" s="6"/>
      <c r="M49" s="6"/>
      <c r="N49" s="6"/>
      <c r="O49" s="6"/>
      <c r="P49" s="127"/>
      <c r="Q49" s="2"/>
      <c r="R49" s="2"/>
      <c r="S49" s="2"/>
    </row>
    <row r="50" spans="1:27" ht="15.75" customHeight="1" x14ac:dyDescent="0.3">
      <c r="A50" s="24"/>
      <c r="B50" s="131" t="s">
        <v>42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3"/>
      <c r="Q50" s="1"/>
      <c r="R50" s="2"/>
      <c r="S50" s="2"/>
    </row>
    <row r="51" spans="1:27" x14ac:dyDescent="0.3">
      <c r="A51" s="24"/>
      <c r="B51" s="128"/>
      <c r="C51" s="129"/>
      <c r="D51" s="129"/>
      <c r="E51" s="129"/>
      <c r="F51" s="129"/>
      <c r="G51" s="129"/>
      <c r="H51" s="128"/>
      <c r="I51" s="128"/>
      <c r="J51" s="128"/>
      <c r="K51" s="128"/>
      <c r="L51" s="128"/>
      <c r="M51" s="128"/>
      <c r="N51" s="128"/>
      <c r="O51" s="128"/>
      <c r="P51" s="26"/>
      <c r="Q51" s="2"/>
      <c r="R51" s="2"/>
      <c r="S51" s="2"/>
    </row>
    <row r="52" spans="1:27" x14ac:dyDescent="0.3">
      <c r="A52" s="24"/>
      <c r="B52" s="4"/>
      <c r="C52" s="3"/>
      <c r="D52" s="3"/>
      <c r="E52" s="3"/>
      <c r="F52" s="3"/>
      <c r="G52" s="3"/>
      <c r="H52" s="4"/>
      <c r="I52" s="4"/>
      <c r="J52" s="4"/>
      <c r="K52" s="4"/>
      <c r="L52" s="4"/>
      <c r="M52" s="4"/>
      <c r="N52" s="4"/>
      <c r="O52" s="4"/>
      <c r="P52" s="27"/>
      <c r="Q52" s="2"/>
      <c r="R52" s="2"/>
      <c r="S52" s="2"/>
      <c r="Z52" s="28"/>
      <c r="AA52" s="28"/>
    </row>
    <row r="53" spans="1:27" x14ac:dyDescent="0.3">
      <c r="A53" s="24"/>
      <c r="B53" s="4"/>
      <c r="C53" s="3"/>
      <c r="D53" s="3"/>
      <c r="E53" s="3"/>
      <c r="F53" s="3"/>
      <c r="G53" s="3"/>
      <c r="H53" s="4"/>
      <c r="I53" s="4"/>
      <c r="J53" s="4"/>
      <c r="K53" s="4"/>
      <c r="L53" s="4"/>
      <c r="M53" s="4"/>
      <c r="N53" s="4"/>
      <c r="O53" s="4"/>
      <c r="P53" s="27"/>
      <c r="Q53" s="2"/>
      <c r="R53" s="2"/>
      <c r="S53" s="2"/>
      <c r="Z53" s="28"/>
      <c r="AA53" s="28"/>
    </row>
    <row r="54" spans="1:27" x14ac:dyDescent="0.3">
      <c r="A54" s="24"/>
      <c r="B54" s="4"/>
      <c r="C54" s="3"/>
      <c r="D54" s="3"/>
      <c r="E54" s="3"/>
      <c r="F54" s="3"/>
      <c r="G54" s="3"/>
      <c r="H54" s="4"/>
      <c r="I54" s="4"/>
      <c r="J54" s="4"/>
      <c r="K54" s="4"/>
      <c r="L54" s="4"/>
      <c r="M54" s="4"/>
      <c r="N54" s="4"/>
      <c r="O54" s="4"/>
      <c r="P54" s="27"/>
      <c r="Q54" s="2"/>
      <c r="R54" s="2"/>
      <c r="S54" s="2"/>
      <c r="Z54" s="28"/>
      <c r="AA54" s="28"/>
    </row>
    <row r="55" spans="1:27" x14ac:dyDescent="0.3">
      <c r="A55" s="24"/>
      <c r="B55" s="4"/>
      <c r="C55" s="3"/>
      <c r="D55" s="3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  <c r="P55" s="27"/>
      <c r="Q55" s="2"/>
      <c r="R55" s="2"/>
      <c r="S55" s="2"/>
      <c r="Z55" s="28"/>
      <c r="AA55" s="28"/>
    </row>
    <row r="56" spans="1:27" x14ac:dyDescent="0.3">
      <c r="A56" s="24"/>
      <c r="B56" s="4"/>
      <c r="C56" s="3"/>
      <c r="D56" s="3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  <c r="P56" s="27"/>
      <c r="Q56" s="2"/>
      <c r="R56" s="2"/>
      <c r="S56" s="2"/>
      <c r="Z56" s="28"/>
      <c r="AA56" s="28"/>
    </row>
    <row r="57" spans="1:27" x14ac:dyDescent="0.3">
      <c r="A57" s="24"/>
      <c r="B57" s="4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  <c r="P57" s="27"/>
      <c r="Q57" s="2"/>
      <c r="R57" s="2"/>
      <c r="S57" s="2"/>
      <c r="Z57" s="28"/>
      <c r="AA57" s="28"/>
    </row>
  </sheetData>
  <sheetProtection algorithmName="SHA-512" hashValue="aLtx5FuI1HfwD6AjoSTJk3QfYgaxYLzeIeo3nR2V476afK5aDDwB4i3hJ/8gZgMfWvi1yRSY860uBELf4rpDfQ==" saltValue="uoyAk9rclpJgeZcQfe4uBA==" spinCount="100000" sheet="1" objects="1" scenarios="1"/>
  <mergeCells count="1">
    <mergeCell ref="B50:P50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02A98-6E08-4B47-9B67-BE09C10966A1}">
  <dimension ref="A1:AA57"/>
  <sheetViews>
    <sheetView tabSelected="1" workbookViewId="0">
      <selection activeCell="Q1" sqref="Q1"/>
    </sheetView>
  </sheetViews>
  <sheetFormatPr defaultRowHeight="14.4" x14ac:dyDescent="0.3"/>
  <cols>
    <col min="1" max="1" width="5.6640625" customWidth="1"/>
    <col min="2" max="2" width="32.6640625" customWidth="1"/>
    <col min="3" max="14" width="13.109375" customWidth="1"/>
    <col min="15" max="15" width="0" hidden="1" customWidth="1"/>
    <col min="16" max="16" width="14.5546875" customWidth="1"/>
  </cols>
  <sheetData>
    <row r="1" spans="1:27" ht="66" customHeight="1" x14ac:dyDescent="0.75">
      <c r="A1" s="1"/>
      <c r="B1" s="60"/>
      <c r="C1" s="2"/>
      <c r="E1" s="3"/>
      <c r="F1" s="3"/>
      <c r="G1" s="2"/>
      <c r="H1" s="4"/>
      <c r="I1" s="4"/>
      <c r="J1" s="2"/>
      <c r="K1" s="4"/>
      <c r="L1" s="4"/>
      <c r="M1" s="4"/>
      <c r="N1" s="4"/>
      <c r="O1" s="61"/>
      <c r="P1" s="62"/>
      <c r="Q1" s="2"/>
      <c r="R1" s="2"/>
      <c r="S1" s="2"/>
      <c r="T1" s="1"/>
      <c r="U1" s="2"/>
      <c r="V1" s="2"/>
      <c r="W1" s="2"/>
      <c r="X1" s="2"/>
      <c r="Y1" s="2"/>
      <c r="Z1" s="2"/>
      <c r="AA1" s="2"/>
    </row>
    <row r="2" spans="1:27" s="30" customFormat="1" ht="27.75" customHeight="1" x14ac:dyDescent="0.25">
      <c r="A2" s="63"/>
      <c r="B2" s="64"/>
      <c r="C2" s="65" t="s">
        <v>43</v>
      </c>
      <c r="D2" s="65" t="s">
        <v>44</v>
      </c>
      <c r="E2" s="65" t="s">
        <v>45</v>
      </c>
      <c r="F2" s="65" t="s">
        <v>46</v>
      </c>
      <c r="G2" s="65" t="s">
        <v>47</v>
      </c>
      <c r="H2" s="65" t="s">
        <v>48</v>
      </c>
      <c r="I2" s="65" t="s">
        <v>49</v>
      </c>
      <c r="J2" s="65" t="s">
        <v>50</v>
      </c>
      <c r="K2" s="65" t="s">
        <v>51</v>
      </c>
      <c r="L2" s="65" t="s">
        <v>52</v>
      </c>
      <c r="M2" s="66" t="s">
        <v>53</v>
      </c>
      <c r="N2" s="65" t="s">
        <v>54</v>
      </c>
      <c r="O2" s="67"/>
      <c r="P2" s="68" t="s">
        <v>55</v>
      </c>
      <c r="Q2" s="63"/>
      <c r="R2" s="29"/>
      <c r="S2" s="29"/>
      <c r="T2" s="69"/>
      <c r="U2" s="69"/>
      <c r="V2" s="69"/>
      <c r="W2" s="69"/>
      <c r="X2" s="69"/>
      <c r="Y2" s="69"/>
      <c r="Z2" s="69"/>
      <c r="AA2" s="69"/>
    </row>
    <row r="3" spans="1:27" x14ac:dyDescent="0.3">
      <c r="A3" s="15"/>
      <c r="B3" s="70" t="s">
        <v>56</v>
      </c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3"/>
      <c r="Q3" s="10"/>
      <c r="R3" s="14"/>
      <c r="S3" s="14"/>
    </row>
    <row r="4" spans="1:27" hidden="1" x14ac:dyDescent="0.3">
      <c r="A4" s="15"/>
      <c r="B4" s="70" t="s">
        <v>57</v>
      </c>
      <c r="C4" s="71">
        <v>0.13</v>
      </c>
      <c r="D4" s="72">
        <v>0.04</v>
      </c>
      <c r="E4" s="72">
        <v>0.08</v>
      </c>
      <c r="F4" s="72">
        <v>0.05</v>
      </c>
      <c r="G4" s="72">
        <v>0.04</v>
      </c>
      <c r="H4" s="73">
        <v>0.05</v>
      </c>
      <c r="I4" s="73">
        <v>7.0000000000000007E-2</v>
      </c>
      <c r="J4" s="73">
        <v>0.1</v>
      </c>
      <c r="K4" s="73">
        <v>0.06</v>
      </c>
      <c r="L4" s="73">
        <v>0.17</v>
      </c>
      <c r="M4" s="73">
        <v>0.16</v>
      </c>
      <c r="N4" s="73">
        <v>0.05</v>
      </c>
      <c r="O4" s="16">
        <f>SUM(C4:N4)</f>
        <v>1</v>
      </c>
      <c r="P4" s="13"/>
      <c r="Q4" s="10"/>
      <c r="R4" s="14"/>
      <c r="S4" s="14"/>
    </row>
    <row r="5" spans="1:27" x14ac:dyDescent="0.3">
      <c r="A5" s="25">
        <v>4010</v>
      </c>
      <c r="B5" s="74" t="s">
        <v>58</v>
      </c>
      <c r="C5" s="75">
        <v>127600</v>
      </c>
      <c r="D5" s="76">
        <v>114200</v>
      </c>
      <c r="E5" s="76">
        <v>98600</v>
      </c>
      <c r="F5" s="76">
        <v>86500</v>
      </c>
      <c r="G5" s="76">
        <v>87900</v>
      </c>
      <c r="H5" s="76">
        <v>78600</v>
      </c>
      <c r="I5" s="76">
        <v>76400</v>
      </c>
      <c r="J5" s="76">
        <v>68600</v>
      </c>
      <c r="K5" s="76">
        <v>92300</v>
      </c>
      <c r="L5" s="76">
        <v>135200</v>
      </c>
      <c r="M5" s="76">
        <v>127600</v>
      </c>
      <c r="N5" s="76">
        <v>116500</v>
      </c>
      <c r="O5" s="77">
        <f>SUM(C5:N5)</f>
        <v>1210000</v>
      </c>
      <c r="P5" s="78">
        <f>SUM(C5:N5)</f>
        <v>1210000</v>
      </c>
      <c r="Q5" s="10"/>
      <c r="R5" s="14"/>
      <c r="S5" s="14"/>
    </row>
    <row r="6" spans="1:27" x14ac:dyDescent="0.3">
      <c r="A6" s="24"/>
      <c r="B6" s="79" t="s">
        <v>59</v>
      </c>
      <c r="C6" s="80">
        <f t="shared" ref="C6:N6" si="0">SUM(C5:C5)</f>
        <v>127600</v>
      </c>
      <c r="D6" s="81">
        <f t="shared" si="0"/>
        <v>114200</v>
      </c>
      <c r="E6" s="81">
        <f t="shared" si="0"/>
        <v>98600</v>
      </c>
      <c r="F6" s="81">
        <f t="shared" si="0"/>
        <v>86500</v>
      </c>
      <c r="G6" s="81">
        <f t="shared" si="0"/>
        <v>87900</v>
      </c>
      <c r="H6" s="81">
        <f t="shared" si="0"/>
        <v>78600</v>
      </c>
      <c r="I6" s="81">
        <f t="shared" si="0"/>
        <v>76400</v>
      </c>
      <c r="J6" s="81">
        <f t="shared" si="0"/>
        <v>68600</v>
      </c>
      <c r="K6" s="81">
        <f t="shared" si="0"/>
        <v>92300</v>
      </c>
      <c r="L6" s="81">
        <f t="shared" si="0"/>
        <v>135200</v>
      </c>
      <c r="M6" s="81">
        <f t="shared" si="0"/>
        <v>127600</v>
      </c>
      <c r="N6" s="81">
        <f t="shared" si="0"/>
        <v>116500</v>
      </c>
      <c r="O6" s="82">
        <f>SUM(C6:N6)</f>
        <v>1210000</v>
      </c>
      <c r="P6" s="83">
        <f>SUM(P5:P5)</f>
        <v>1210000</v>
      </c>
      <c r="Q6" s="1"/>
      <c r="R6" s="2"/>
      <c r="S6" s="2"/>
    </row>
    <row r="7" spans="1:27" hidden="1" x14ac:dyDescent="0.3">
      <c r="A7" s="61"/>
      <c r="B7" s="84" t="s">
        <v>60</v>
      </c>
      <c r="C7" s="85" t="e">
        <f>SUM(C$39+C$44)/#REF!</f>
        <v>#REF!</v>
      </c>
      <c r="D7" s="19" t="e">
        <f>SUM(D$39+D$44)/#REF!</f>
        <v>#REF!</v>
      </c>
      <c r="E7" s="19" t="e">
        <f>SUM(E$39+E$44)/#REF!</f>
        <v>#REF!</v>
      </c>
      <c r="F7" s="19" t="e">
        <f>SUM(F$39+F$44)/#REF!</f>
        <v>#REF!</v>
      </c>
      <c r="G7" s="19" t="e">
        <f>SUM(G$39+G$44)/#REF!</f>
        <v>#REF!</v>
      </c>
      <c r="H7" s="19" t="e">
        <f>SUM(H$39+H$44)/#REF!</f>
        <v>#REF!</v>
      </c>
      <c r="I7" s="19" t="e">
        <f>SUM(I$39+I$44)/#REF!</f>
        <v>#REF!</v>
      </c>
      <c r="J7" s="19" t="e">
        <f>SUM(J$39+J$44)/#REF!</f>
        <v>#REF!</v>
      </c>
      <c r="K7" s="19" t="e">
        <f>SUM(K$39+K$44)/#REF!</f>
        <v>#REF!</v>
      </c>
      <c r="L7" s="19" t="e">
        <f>SUM(L$39+L$44)/#REF!</f>
        <v>#REF!</v>
      </c>
      <c r="M7" s="19" t="e">
        <f>SUM(M$39+M$44)/#REF!</f>
        <v>#REF!</v>
      </c>
      <c r="N7" s="19" t="e">
        <f>SUM(N$39+N$44)/#REF!</f>
        <v>#REF!</v>
      </c>
      <c r="O7" s="20" t="e">
        <f>SUM(O$39+O$44)/#REF!</f>
        <v>#REF!</v>
      </c>
      <c r="P7" s="86" t="e">
        <f>SUM(P$39+P$44)/#REF!</f>
        <v>#REF!</v>
      </c>
      <c r="Q7" s="21"/>
      <c r="R7" s="4"/>
      <c r="S7" s="4"/>
      <c r="T7" s="21"/>
      <c r="U7" s="4"/>
      <c r="V7" s="4"/>
      <c r="W7" s="4"/>
      <c r="X7" s="4"/>
      <c r="Y7" s="4"/>
      <c r="Z7" s="4"/>
      <c r="AA7" s="4"/>
    </row>
    <row r="8" spans="1:27" x14ac:dyDescent="0.3">
      <c r="A8" s="18"/>
      <c r="B8" s="87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  <c r="Q8" s="4"/>
      <c r="R8" s="4"/>
      <c r="S8" s="4"/>
      <c r="T8" s="21"/>
      <c r="U8" s="4"/>
      <c r="V8" s="4"/>
      <c r="W8" s="4"/>
      <c r="X8" s="4"/>
      <c r="Y8" s="4"/>
      <c r="Z8" s="4"/>
      <c r="AA8" s="4"/>
    </row>
    <row r="9" spans="1:27" x14ac:dyDescent="0.3">
      <c r="A9" s="17"/>
      <c r="B9" s="88" t="s">
        <v>61</v>
      </c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7"/>
      <c r="P9" s="8"/>
      <c r="Q9" s="2"/>
      <c r="R9" s="2"/>
      <c r="S9" s="2"/>
      <c r="T9" s="1"/>
      <c r="U9" s="2"/>
      <c r="V9" s="2"/>
      <c r="W9" s="2"/>
      <c r="X9" s="2"/>
      <c r="Y9" s="2"/>
      <c r="Z9" s="2"/>
      <c r="AA9" s="2"/>
    </row>
    <row r="10" spans="1:27" x14ac:dyDescent="0.3">
      <c r="A10" s="17">
        <v>5110</v>
      </c>
      <c r="B10" s="89" t="s">
        <v>62</v>
      </c>
      <c r="C10" s="76">
        <v>62550</v>
      </c>
      <c r="D10" s="76">
        <v>51000</v>
      </c>
      <c r="E10" s="76">
        <v>23100</v>
      </c>
      <c r="F10" s="76">
        <v>18250</v>
      </c>
      <c r="G10" s="76">
        <v>9600</v>
      </c>
      <c r="H10" s="76">
        <v>13250</v>
      </c>
      <c r="I10" s="76">
        <v>30550</v>
      </c>
      <c r="J10" s="76">
        <v>68500</v>
      </c>
      <c r="K10" s="76">
        <v>86400</v>
      </c>
      <c r="L10" s="76">
        <v>23400</v>
      </c>
      <c r="M10" s="76">
        <v>48500</v>
      </c>
      <c r="N10" s="76">
        <v>39700</v>
      </c>
      <c r="O10" s="90">
        <f>SUM(C10:N10)</f>
        <v>474800</v>
      </c>
      <c r="P10" s="78">
        <f>SUM(O10)</f>
        <v>474800</v>
      </c>
      <c r="Q10" s="1"/>
      <c r="R10" s="2"/>
      <c r="S10" s="2"/>
    </row>
    <row r="11" spans="1:27" x14ac:dyDescent="0.3">
      <c r="A11" s="17">
        <v>5120</v>
      </c>
      <c r="B11" s="89" t="s">
        <v>63</v>
      </c>
      <c r="C11" s="91">
        <f t="shared" ref="C11:J11" si="1">SUM($P11*C$4)</f>
        <v>7215</v>
      </c>
      <c r="D11" s="91">
        <f t="shared" si="1"/>
        <v>2220</v>
      </c>
      <c r="E11" s="91">
        <f t="shared" si="1"/>
        <v>4440</v>
      </c>
      <c r="F11" s="91">
        <f t="shared" si="1"/>
        <v>2775</v>
      </c>
      <c r="G11" s="91">
        <f t="shared" si="1"/>
        <v>2220</v>
      </c>
      <c r="H11" s="91">
        <f t="shared" si="1"/>
        <v>2775</v>
      </c>
      <c r="I11" s="91">
        <f t="shared" si="1"/>
        <v>3885.0000000000005</v>
      </c>
      <c r="J11" s="91">
        <f t="shared" si="1"/>
        <v>5550</v>
      </c>
      <c r="K11" s="91">
        <v>5330</v>
      </c>
      <c r="L11" s="91">
        <v>7435</v>
      </c>
      <c r="M11" s="91">
        <f>SUM($P11*M$4)</f>
        <v>8880</v>
      </c>
      <c r="N11" s="91">
        <f>SUM($P11*N$4)</f>
        <v>2775</v>
      </c>
      <c r="O11" s="90">
        <f>SUM(C11:N11)</f>
        <v>55500</v>
      </c>
      <c r="P11" s="78">
        <v>55500</v>
      </c>
      <c r="Q11" s="1"/>
      <c r="R11" s="2"/>
      <c r="S11" s="2"/>
    </row>
    <row r="12" spans="1:27" x14ac:dyDescent="0.3">
      <c r="A12" s="17">
        <v>5140</v>
      </c>
      <c r="B12" s="89" t="s">
        <v>64</v>
      </c>
      <c r="C12" s="91">
        <v>9630</v>
      </c>
      <c r="D12" s="91">
        <v>10300</v>
      </c>
      <c r="E12" s="91">
        <v>6400</v>
      </c>
      <c r="F12" s="91">
        <v>5280</v>
      </c>
      <c r="G12" s="91">
        <v>7740</v>
      </c>
      <c r="H12" s="91">
        <v>5300</v>
      </c>
      <c r="I12" s="91">
        <v>3250</v>
      </c>
      <c r="J12" s="91">
        <v>7550</v>
      </c>
      <c r="K12" s="91">
        <v>12600</v>
      </c>
      <c r="L12" s="91">
        <v>10670</v>
      </c>
      <c r="M12" s="91">
        <v>8200</v>
      </c>
      <c r="N12" s="91">
        <v>9750</v>
      </c>
      <c r="O12" s="90">
        <f>SUM(C12:N12)</f>
        <v>96670</v>
      </c>
      <c r="P12" s="78">
        <f>SUM(C12:N12)</f>
        <v>96670</v>
      </c>
      <c r="Q12" s="1"/>
      <c r="R12" s="2"/>
      <c r="S12" s="2"/>
    </row>
    <row r="13" spans="1:27" x14ac:dyDescent="0.3">
      <c r="A13" s="17">
        <v>5160</v>
      </c>
      <c r="B13" t="s">
        <v>65</v>
      </c>
      <c r="C13" s="91">
        <f>SUM($P13*C$4)</f>
        <v>6305</v>
      </c>
      <c r="D13" s="91">
        <f>SUM($P13*D$4)</f>
        <v>1940</v>
      </c>
      <c r="E13" s="91">
        <f>SUM($P13*E$4)</f>
        <v>3880</v>
      </c>
      <c r="F13" s="91">
        <v>1425</v>
      </c>
      <c r="G13" s="91">
        <v>2840</v>
      </c>
      <c r="H13" s="91">
        <v>3395</v>
      </c>
      <c r="I13" s="91">
        <v>2525</v>
      </c>
      <c r="J13" s="91">
        <f>SUM($P13*J$4)</f>
        <v>4850</v>
      </c>
      <c r="K13" s="91">
        <f>SUM($P13*K$4)</f>
        <v>2910</v>
      </c>
      <c r="L13" s="91">
        <f>SUM($P13*L$4)</f>
        <v>8245</v>
      </c>
      <c r="M13" s="91">
        <f>SUM($P13*M$4)</f>
        <v>7760</v>
      </c>
      <c r="N13" s="91">
        <f>SUM($P13*N$4)</f>
        <v>2425</v>
      </c>
      <c r="O13" s="90">
        <f>SUM(C13:N13)</f>
        <v>48500</v>
      </c>
      <c r="P13" s="92">
        <v>48500</v>
      </c>
      <c r="Q13" s="1"/>
      <c r="R13" s="2"/>
      <c r="S13" s="2"/>
    </row>
    <row r="14" spans="1:27" x14ac:dyDescent="0.3">
      <c r="A14" s="17"/>
      <c r="B14" s="93" t="s">
        <v>66</v>
      </c>
      <c r="C14" s="94">
        <f t="shared" ref="C14:N14" si="2">SUM(C10:C13)</f>
        <v>85700</v>
      </c>
      <c r="D14" s="94">
        <f t="shared" si="2"/>
        <v>65460</v>
      </c>
      <c r="E14" s="94">
        <f t="shared" si="2"/>
        <v>37820</v>
      </c>
      <c r="F14" s="94">
        <f t="shared" si="2"/>
        <v>27730</v>
      </c>
      <c r="G14" s="94">
        <f t="shared" si="2"/>
        <v>22400</v>
      </c>
      <c r="H14" s="94">
        <f t="shared" si="2"/>
        <v>24720</v>
      </c>
      <c r="I14" s="94">
        <f t="shared" si="2"/>
        <v>40210</v>
      </c>
      <c r="J14" s="94">
        <f t="shared" si="2"/>
        <v>86450</v>
      </c>
      <c r="K14" s="94">
        <f t="shared" si="2"/>
        <v>107240</v>
      </c>
      <c r="L14" s="94">
        <f t="shared" si="2"/>
        <v>49750</v>
      </c>
      <c r="M14" s="94">
        <f t="shared" si="2"/>
        <v>73340</v>
      </c>
      <c r="N14" s="94">
        <f t="shared" si="2"/>
        <v>54650</v>
      </c>
      <c r="O14" s="95"/>
      <c r="P14" s="83">
        <f>SUM(P10:P13)</f>
        <v>675470</v>
      </c>
      <c r="Q14" s="1"/>
      <c r="R14" s="2"/>
      <c r="S14" s="2"/>
    </row>
    <row r="15" spans="1:27" x14ac:dyDescent="0.3">
      <c r="A15" s="18"/>
      <c r="B15" s="96" t="s">
        <v>67</v>
      </c>
      <c r="C15" s="97">
        <f t="shared" ref="C15:P15" si="3">SUM(C6-C14)</f>
        <v>41900</v>
      </c>
      <c r="D15" s="97">
        <f t="shared" si="3"/>
        <v>48740</v>
      </c>
      <c r="E15" s="97">
        <f t="shared" si="3"/>
        <v>60780</v>
      </c>
      <c r="F15" s="97">
        <f t="shared" si="3"/>
        <v>58770</v>
      </c>
      <c r="G15" s="97">
        <f t="shared" si="3"/>
        <v>65500</v>
      </c>
      <c r="H15" s="97">
        <f t="shared" si="3"/>
        <v>53880</v>
      </c>
      <c r="I15" s="97">
        <f t="shared" si="3"/>
        <v>36190</v>
      </c>
      <c r="J15" s="97">
        <f t="shared" si="3"/>
        <v>-17850</v>
      </c>
      <c r="K15" s="97">
        <f t="shared" si="3"/>
        <v>-14940</v>
      </c>
      <c r="L15" s="97">
        <f t="shared" si="3"/>
        <v>85450</v>
      </c>
      <c r="M15" s="97">
        <f t="shared" si="3"/>
        <v>54260</v>
      </c>
      <c r="N15" s="97">
        <f t="shared" si="3"/>
        <v>61850</v>
      </c>
      <c r="O15" s="97">
        <f t="shared" si="3"/>
        <v>1210000</v>
      </c>
      <c r="P15" s="97">
        <f t="shared" si="3"/>
        <v>534530</v>
      </c>
      <c r="Q15" s="4"/>
      <c r="R15" s="4"/>
      <c r="S15" s="4"/>
      <c r="T15" s="12"/>
      <c r="U15" s="12"/>
      <c r="V15" s="12"/>
      <c r="W15" s="12"/>
      <c r="X15" s="12"/>
      <c r="Y15" s="12"/>
      <c r="Z15" s="12"/>
      <c r="AA15" s="12"/>
    </row>
    <row r="16" spans="1:27" x14ac:dyDescent="0.3">
      <c r="A16" s="25"/>
      <c r="B16" s="98" t="s">
        <v>68</v>
      </c>
      <c r="C16" s="99">
        <f t="shared" ref="C16:P16" si="4">C15/C5</f>
        <v>0.32836990595611287</v>
      </c>
      <c r="D16" s="99">
        <f t="shared" si="4"/>
        <v>0.42679509632224166</v>
      </c>
      <c r="E16" s="99">
        <f t="shared" si="4"/>
        <v>0.61643002028397564</v>
      </c>
      <c r="F16" s="99">
        <f t="shared" si="4"/>
        <v>0.6794219653179191</v>
      </c>
      <c r="G16" s="99">
        <f t="shared" si="4"/>
        <v>0.74516496018202505</v>
      </c>
      <c r="H16" s="99">
        <f t="shared" si="4"/>
        <v>0.68549618320610683</v>
      </c>
      <c r="I16" s="99">
        <f t="shared" si="4"/>
        <v>0.47369109947643978</v>
      </c>
      <c r="J16" s="99">
        <f t="shared" si="4"/>
        <v>-0.26020408163265307</v>
      </c>
      <c r="K16" s="99">
        <f t="shared" si="4"/>
        <v>-0.161863488624052</v>
      </c>
      <c r="L16" s="99">
        <f t="shared" si="4"/>
        <v>0.63202662721893488</v>
      </c>
      <c r="M16" s="99">
        <f t="shared" si="4"/>
        <v>0.42523510971786832</v>
      </c>
      <c r="N16" s="99">
        <f t="shared" si="4"/>
        <v>0.53090128755364807</v>
      </c>
      <c r="O16" s="99">
        <f t="shared" si="4"/>
        <v>1</v>
      </c>
      <c r="P16" s="99">
        <f t="shared" si="4"/>
        <v>0.44176033057851238</v>
      </c>
      <c r="Q16" s="10"/>
      <c r="R16" s="14"/>
      <c r="S16" s="14"/>
    </row>
    <row r="17" spans="1:19" x14ac:dyDescent="0.3">
      <c r="A17" s="25"/>
      <c r="B17" s="59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  <c r="Q17" s="2"/>
      <c r="R17" s="14"/>
      <c r="S17" s="14"/>
    </row>
    <row r="18" spans="1:19" x14ac:dyDescent="0.3">
      <c r="A18" s="24"/>
      <c r="B18" s="79" t="s">
        <v>69</v>
      </c>
      <c r="C18" s="9"/>
      <c r="D18" s="5"/>
      <c r="E18" s="5"/>
      <c r="F18" s="5"/>
      <c r="G18" s="5"/>
      <c r="H18" s="6"/>
      <c r="I18" s="6"/>
      <c r="J18" s="6"/>
      <c r="K18" s="6"/>
      <c r="L18" s="6"/>
      <c r="M18" s="6"/>
      <c r="N18" s="6"/>
      <c r="O18" s="6"/>
      <c r="P18" s="8"/>
      <c r="Q18" s="2"/>
      <c r="R18" s="2"/>
      <c r="S18" s="2"/>
    </row>
    <row r="19" spans="1:19" x14ac:dyDescent="0.3">
      <c r="A19" s="24">
        <v>6110</v>
      </c>
      <c r="B19" s="100" t="s">
        <v>70</v>
      </c>
      <c r="C19" s="101">
        <v>3667</v>
      </c>
      <c r="D19" s="102">
        <v>3667</v>
      </c>
      <c r="E19" s="102">
        <v>3667</v>
      </c>
      <c r="F19" s="102">
        <v>3667</v>
      </c>
      <c r="G19" s="102">
        <v>3667</v>
      </c>
      <c r="H19" s="102">
        <v>3667</v>
      </c>
      <c r="I19" s="102">
        <v>3667</v>
      </c>
      <c r="J19" s="102">
        <v>3667</v>
      </c>
      <c r="K19" s="102">
        <v>3667</v>
      </c>
      <c r="L19" s="102">
        <v>3667</v>
      </c>
      <c r="M19" s="102">
        <v>3667</v>
      </c>
      <c r="N19" s="102">
        <v>3667</v>
      </c>
      <c r="O19" s="90">
        <f t="shared" ref="O19:O38" si="5">SUM(C19:N19)</f>
        <v>44004</v>
      </c>
      <c r="P19" s="78">
        <v>44004</v>
      </c>
      <c r="Q19" s="103"/>
      <c r="R19" s="2"/>
      <c r="S19" s="2"/>
    </row>
    <row r="20" spans="1:19" x14ac:dyDescent="0.3">
      <c r="A20" s="17">
        <v>6120</v>
      </c>
      <c r="B20" s="104" t="s">
        <v>71</v>
      </c>
      <c r="C20" s="91">
        <f t="shared" ref="C20:N20" si="6">SUM($P20*C$4)</f>
        <v>910</v>
      </c>
      <c r="D20" s="91">
        <f t="shared" si="6"/>
        <v>280</v>
      </c>
      <c r="E20" s="91">
        <f t="shared" si="6"/>
        <v>560</v>
      </c>
      <c r="F20" s="91">
        <f t="shared" si="6"/>
        <v>350</v>
      </c>
      <c r="G20" s="91">
        <f t="shared" si="6"/>
        <v>280</v>
      </c>
      <c r="H20" s="91">
        <f t="shared" si="6"/>
        <v>350</v>
      </c>
      <c r="I20" s="91">
        <f t="shared" si="6"/>
        <v>490.00000000000006</v>
      </c>
      <c r="J20" s="91">
        <f t="shared" si="6"/>
        <v>700</v>
      </c>
      <c r="K20" s="91">
        <f t="shared" si="6"/>
        <v>420</v>
      </c>
      <c r="L20" s="91">
        <f t="shared" si="6"/>
        <v>1190</v>
      </c>
      <c r="M20" s="91">
        <f t="shared" si="6"/>
        <v>1120</v>
      </c>
      <c r="N20" s="91">
        <f t="shared" si="6"/>
        <v>350</v>
      </c>
      <c r="O20" s="90">
        <f t="shared" si="5"/>
        <v>7000</v>
      </c>
      <c r="P20" s="78">
        <v>7000</v>
      </c>
      <c r="Q20" s="1"/>
      <c r="R20" s="2"/>
      <c r="S20" s="2"/>
    </row>
    <row r="21" spans="1:19" x14ac:dyDescent="0.3">
      <c r="A21" s="17">
        <v>6130</v>
      </c>
      <c r="B21" s="105" t="s">
        <v>72</v>
      </c>
      <c r="C21" s="102">
        <v>120</v>
      </c>
      <c r="D21" s="102">
        <v>160</v>
      </c>
      <c r="E21" s="102">
        <v>230</v>
      </c>
      <c r="F21" s="102">
        <v>270</v>
      </c>
      <c r="G21" s="102">
        <v>290</v>
      </c>
      <c r="H21" s="102">
        <v>350</v>
      </c>
      <c r="I21" s="102">
        <v>470</v>
      </c>
      <c r="J21" s="102">
        <v>750</v>
      </c>
      <c r="K21" s="102">
        <v>1100</v>
      </c>
      <c r="L21" s="102">
        <v>3100</v>
      </c>
      <c r="M21" s="102">
        <v>2130</v>
      </c>
      <c r="N21" s="102">
        <v>2030</v>
      </c>
      <c r="O21" s="90">
        <f t="shared" si="5"/>
        <v>11000</v>
      </c>
      <c r="P21" s="78">
        <f>SUM(C21:N21)</f>
        <v>11000</v>
      </c>
      <c r="Q21" s="1"/>
      <c r="R21" s="2"/>
      <c r="S21" s="2"/>
    </row>
    <row r="22" spans="1:19" x14ac:dyDescent="0.3">
      <c r="A22" s="17">
        <v>6140</v>
      </c>
      <c r="B22" s="105" t="s">
        <v>73</v>
      </c>
      <c r="C22" s="102">
        <f t="shared" ref="C22:N22" si="7">$P22/12</f>
        <v>1083.3333333333333</v>
      </c>
      <c r="D22" s="102">
        <f t="shared" si="7"/>
        <v>1083.3333333333333</v>
      </c>
      <c r="E22" s="102">
        <f t="shared" si="7"/>
        <v>1083.3333333333333</v>
      </c>
      <c r="F22" s="102">
        <f t="shared" si="7"/>
        <v>1083.3333333333333</v>
      </c>
      <c r="G22" s="102">
        <f t="shared" si="7"/>
        <v>1083.3333333333333</v>
      </c>
      <c r="H22" s="102">
        <f t="shared" si="7"/>
        <v>1083.3333333333333</v>
      </c>
      <c r="I22" s="102">
        <f t="shared" si="7"/>
        <v>1083.3333333333333</v>
      </c>
      <c r="J22" s="102">
        <f t="shared" si="7"/>
        <v>1083.3333333333333</v>
      </c>
      <c r="K22" s="102">
        <f t="shared" si="7"/>
        <v>1083.3333333333333</v>
      </c>
      <c r="L22" s="102">
        <f t="shared" si="7"/>
        <v>1083.3333333333333</v>
      </c>
      <c r="M22" s="102">
        <f t="shared" si="7"/>
        <v>1083.3333333333333</v>
      </c>
      <c r="N22" s="102">
        <f t="shared" si="7"/>
        <v>1083.3333333333333</v>
      </c>
      <c r="O22" s="90">
        <f t="shared" si="5"/>
        <v>13000.000000000002</v>
      </c>
      <c r="P22" s="78">
        <v>13000</v>
      </c>
      <c r="Q22" s="1"/>
      <c r="R22" s="2"/>
      <c r="S22" s="2"/>
    </row>
    <row r="23" spans="1:19" x14ac:dyDescent="0.3">
      <c r="A23" s="17">
        <v>6150</v>
      </c>
      <c r="B23" s="105" t="s">
        <v>74</v>
      </c>
      <c r="C23" s="102">
        <v>1250</v>
      </c>
      <c r="D23" s="102">
        <v>1150</v>
      </c>
      <c r="E23" s="102">
        <v>1150</v>
      </c>
      <c r="F23" s="102">
        <v>850</v>
      </c>
      <c r="G23" s="102">
        <v>700</v>
      </c>
      <c r="H23" s="102">
        <v>1050</v>
      </c>
      <c r="I23" s="102">
        <v>1300</v>
      </c>
      <c r="J23" s="102">
        <v>1350</v>
      </c>
      <c r="K23" s="102">
        <v>1000</v>
      </c>
      <c r="L23" s="102">
        <v>900</v>
      </c>
      <c r="M23" s="102">
        <v>1100</v>
      </c>
      <c r="N23" s="102">
        <v>1200</v>
      </c>
      <c r="O23" s="90">
        <f t="shared" si="5"/>
        <v>13000</v>
      </c>
      <c r="P23" s="78">
        <v>13000</v>
      </c>
      <c r="Q23" s="1"/>
      <c r="R23" s="2"/>
      <c r="S23" s="2"/>
    </row>
    <row r="24" spans="1:19" x14ac:dyDescent="0.3">
      <c r="A24" s="17">
        <v>6160</v>
      </c>
      <c r="B24" s="105" t="s">
        <v>75</v>
      </c>
      <c r="C24" s="102">
        <v>1200</v>
      </c>
      <c r="D24" s="102">
        <v>800</v>
      </c>
      <c r="E24" s="102">
        <v>900</v>
      </c>
      <c r="F24" s="102">
        <v>1100</v>
      </c>
      <c r="G24" s="102">
        <v>500</v>
      </c>
      <c r="H24" s="102">
        <v>1500</v>
      </c>
      <c r="I24" s="102">
        <f>$P24/12</f>
        <v>1000</v>
      </c>
      <c r="J24" s="102">
        <f>$P24/12</f>
        <v>1000</v>
      </c>
      <c r="K24" s="102">
        <v>700</v>
      </c>
      <c r="L24" s="102">
        <v>1300</v>
      </c>
      <c r="M24" s="102">
        <v>1100</v>
      </c>
      <c r="N24" s="102">
        <v>900</v>
      </c>
      <c r="O24" s="90">
        <f t="shared" si="5"/>
        <v>12000</v>
      </c>
      <c r="P24" s="78">
        <v>12000</v>
      </c>
      <c r="Q24" s="1"/>
      <c r="R24" s="2"/>
      <c r="S24" s="2"/>
    </row>
    <row r="25" spans="1:19" x14ac:dyDescent="0.3">
      <c r="A25" s="17">
        <v>6170</v>
      </c>
      <c r="B25" s="89" t="s">
        <v>76</v>
      </c>
      <c r="C25" s="91">
        <f t="shared" ref="C25:N25" si="8">SUM($P25*C$4)</f>
        <v>2470</v>
      </c>
      <c r="D25" s="91">
        <f t="shared" si="8"/>
        <v>760</v>
      </c>
      <c r="E25" s="91">
        <f t="shared" si="8"/>
        <v>1520</v>
      </c>
      <c r="F25" s="91">
        <f t="shared" si="8"/>
        <v>950</v>
      </c>
      <c r="G25" s="91">
        <f t="shared" si="8"/>
        <v>760</v>
      </c>
      <c r="H25" s="91">
        <f t="shared" si="8"/>
        <v>950</v>
      </c>
      <c r="I25" s="91">
        <f t="shared" si="8"/>
        <v>1330.0000000000002</v>
      </c>
      <c r="J25" s="91">
        <f t="shared" si="8"/>
        <v>1900</v>
      </c>
      <c r="K25" s="91">
        <f t="shared" si="8"/>
        <v>1140</v>
      </c>
      <c r="L25" s="91">
        <f t="shared" si="8"/>
        <v>3230.0000000000005</v>
      </c>
      <c r="M25" s="91">
        <f t="shared" si="8"/>
        <v>3040</v>
      </c>
      <c r="N25" s="91">
        <f t="shared" si="8"/>
        <v>950</v>
      </c>
      <c r="O25" s="90">
        <f t="shared" si="5"/>
        <v>19000</v>
      </c>
      <c r="P25" s="78">
        <v>19000</v>
      </c>
      <c r="Q25" s="1"/>
      <c r="R25" s="2"/>
      <c r="S25" s="2"/>
    </row>
    <row r="26" spans="1:19" x14ac:dyDescent="0.3">
      <c r="A26" s="17">
        <v>6180</v>
      </c>
      <c r="B26" s="105" t="s">
        <v>77</v>
      </c>
      <c r="C26" s="102">
        <f t="shared" ref="C26:N27" si="9">$P26/12</f>
        <v>250</v>
      </c>
      <c r="D26" s="102">
        <f t="shared" si="9"/>
        <v>250</v>
      </c>
      <c r="E26" s="102">
        <f t="shared" si="9"/>
        <v>250</v>
      </c>
      <c r="F26" s="102">
        <f t="shared" si="9"/>
        <v>250</v>
      </c>
      <c r="G26" s="102">
        <f t="shared" si="9"/>
        <v>250</v>
      </c>
      <c r="H26" s="102">
        <f t="shared" si="9"/>
        <v>250</v>
      </c>
      <c r="I26" s="102">
        <f t="shared" si="9"/>
        <v>250</v>
      </c>
      <c r="J26" s="102">
        <f t="shared" si="9"/>
        <v>250</v>
      </c>
      <c r="K26" s="102">
        <f t="shared" si="9"/>
        <v>250</v>
      </c>
      <c r="L26" s="102">
        <f t="shared" si="9"/>
        <v>250</v>
      </c>
      <c r="M26" s="102">
        <f t="shared" si="9"/>
        <v>250</v>
      </c>
      <c r="N26" s="102">
        <f t="shared" si="9"/>
        <v>250</v>
      </c>
      <c r="O26" s="90">
        <f t="shared" si="5"/>
        <v>3000</v>
      </c>
      <c r="P26" s="78">
        <v>3000</v>
      </c>
      <c r="Q26" s="1"/>
      <c r="R26" s="2"/>
      <c r="S26" s="2"/>
    </row>
    <row r="27" spans="1:19" x14ac:dyDescent="0.3">
      <c r="A27" s="17">
        <v>6190</v>
      </c>
      <c r="B27" s="105" t="s">
        <v>78</v>
      </c>
      <c r="C27" s="102">
        <f t="shared" si="9"/>
        <v>250</v>
      </c>
      <c r="D27" s="102">
        <f t="shared" si="9"/>
        <v>250</v>
      </c>
      <c r="E27" s="102">
        <f t="shared" si="9"/>
        <v>250</v>
      </c>
      <c r="F27" s="102">
        <f t="shared" si="9"/>
        <v>250</v>
      </c>
      <c r="G27" s="102">
        <f t="shared" si="9"/>
        <v>250</v>
      </c>
      <c r="H27" s="102">
        <f t="shared" si="9"/>
        <v>250</v>
      </c>
      <c r="I27" s="102">
        <f t="shared" si="9"/>
        <v>250</v>
      </c>
      <c r="J27" s="102">
        <f t="shared" si="9"/>
        <v>250</v>
      </c>
      <c r="K27" s="102">
        <f t="shared" si="9"/>
        <v>250</v>
      </c>
      <c r="L27" s="102">
        <f t="shared" si="9"/>
        <v>250</v>
      </c>
      <c r="M27" s="102">
        <f t="shared" si="9"/>
        <v>250</v>
      </c>
      <c r="N27" s="102">
        <f t="shared" si="9"/>
        <v>250</v>
      </c>
      <c r="O27" s="90">
        <f t="shared" si="5"/>
        <v>3000</v>
      </c>
      <c r="P27" s="78">
        <v>3000</v>
      </c>
      <c r="Q27" s="1"/>
      <c r="R27" s="2"/>
      <c r="S27" s="2"/>
    </row>
    <row r="28" spans="1:19" x14ac:dyDescent="0.3">
      <c r="A28" s="17">
        <v>6200</v>
      </c>
      <c r="B28" s="106" t="s">
        <v>79</v>
      </c>
      <c r="C28" s="91">
        <v>8100</v>
      </c>
      <c r="D28" s="91">
        <v>7300</v>
      </c>
      <c r="E28" s="91">
        <v>7900</v>
      </c>
      <c r="F28" s="91">
        <v>16800</v>
      </c>
      <c r="G28" s="91">
        <v>7200</v>
      </c>
      <c r="H28" s="91">
        <v>8100</v>
      </c>
      <c r="I28" s="91">
        <v>8800</v>
      </c>
      <c r="J28" s="91">
        <v>7200</v>
      </c>
      <c r="K28" s="91">
        <v>8100</v>
      </c>
      <c r="L28" s="91">
        <v>20300</v>
      </c>
      <c r="M28" s="91">
        <v>12600</v>
      </c>
      <c r="N28" s="91">
        <v>7600</v>
      </c>
      <c r="O28" s="90">
        <f t="shared" si="5"/>
        <v>120000</v>
      </c>
      <c r="P28" s="78">
        <f>SUM(C28:N28)</f>
        <v>120000</v>
      </c>
      <c r="Q28" s="1"/>
      <c r="R28" s="2"/>
      <c r="S28" s="2"/>
    </row>
    <row r="29" spans="1:19" x14ac:dyDescent="0.3">
      <c r="A29" s="17">
        <v>6210</v>
      </c>
      <c r="B29" s="89" t="s">
        <v>80</v>
      </c>
      <c r="C29" s="91">
        <f>SUM($P29*C$4)</f>
        <v>1300</v>
      </c>
      <c r="D29" s="91">
        <f>SUM($P29*D$4)</f>
        <v>400</v>
      </c>
      <c r="E29" s="91">
        <f>SUM($P29*E$4)</f>
        <v>800</v>
      </c>
      <c r="F29" s="91">
        <v>900</v>
      </c>
      <c r="G29" s="91">
        <v>0</v>
      </c>
      <c r="H29" s="91">
        <f>SUM($P29*H$4)</f>
        <v>500</v>
      </c>
      <c r="I29" s="91">
        <f>SUM($P29*I$4)</f>
        <v>700.00000000000011</v>
      </c>
      <c r="J29" s="91">
        <v>200</v>
      </c>
      <c r="K29" s="91">
        <v>1400</v>
      </c>
      <c r="L29" s="91">
        <f>SUM($P29*L$4)</f>
        <v>1700.0000000000002</v>
      </c>
      <c r="M29" s="91">
        <f>SUM($P29*M$4)</f>
        <v>1600</v>
      </c>
      <c r="N29" s="91">
        <f>SUM($P29*N$4)</f>
        <v>500</v>
      </c>
      <c r="O29" s="90">
        <f t="shared" si="5"/>
        <v>10000</v>
      </c>
      <c r="P29" s="78">
        <v>10000</v>
      </c>
      <c r="Q29" s="1"/>
      <c r="R29" s="2"/>
      <c r="S29" s="2"/>
    </row>
    <row r="30" spans="1:19" x14ac:dyDescent="0.3">
      <c r="A30" s="17">
        <v>6220</v>
      </c>
      <c r="B30" s="107" t="s">
        <v>81</v>
      </c>
      <c r="C30" s="102">
        <f t="shared" ref="C30:N30" si="10">$P30/12</f>
        <v>4166.666666666667</v>
      </c>
      <c r="D30" s="102">
        <f t="shared" si="10"/>
        <v>4166.666666666667</v>
      </c>
      <c r="E30" s="102">
        <f t="shared" si="10"/>
        <v>4166.666666666667</v>
      </c>
      <c r="F30" s="102">
        <f t="shared" si="10"/>
        <v>4166.666666666667</v>
      </c>
      <c r="G30" s="102">
        <f t="shared" si="10"/>
        <v>4166.666666666667</v>
      </c>
      <c r="H30" s="102">
        <f t="shared" si="10"/>
        <v>4166.666666666667</v>
      </c>
      <c r="I30" s="102">
        <f t="shared" si="10"/>
        <v>4166.666666666667</v>
      </c>
      <c r="J30" s="102">
        <f t="shared" si="10"/>
        <v>4166.666666666667</v>
      </c>
      <c r="K30" s="102">
        <f t="shared" si="10"/>
        <v>4166.666666666667</v>
      </c>
      <c r="L30" s="102">
        <f t="shared" si="10"/>
        <v>4166.666666666667</v>
      </c>
      <c r="M30" s="102">
        <f t="shared" si="10"/>
        <v>4166.666666666667</v>
      </c>
      <c r="N30" s="102">
        <f t="shared" si="10"/>
        <v>4166.666666666667</v>
      </c>
      <c r="O30" s="90">
        <f t="shared" si="5"/>
        <v>49999.999999999993</v>
      </c>
      <c r="P30" s="78">
        <v>50000</v>
      </c>
      <c r="Q30" s="1"/>
      <c r="R30" s="2"/>
      <c r="S30" s="2"/>
    </row>
    <row r="31" spans="1:19" x14ac:dyDescent="0.3">
      <c r="A31" s="17">
        <v>6230</v>
      </c>
      <c r="B31" s="105" t="s">
        <v>82</v>
      </c>
      <c r="C31" s="102">
        <f t="shared" ref="C31:N31" si="11">SUM(C28:C30)*0.0643</f>
        <v>872.3366666666667</v>
      </c>
      <c r="D31" s="102">
        <f t="shared" si="11"/>
        <v>763.02666666666664</v>
      </c>
      <c r="E31" s="102">
        <f t="shared" si="11"/>
        <v>827.32666666666671</v>
      </c>
      <c r="F31" s="102">
        <f t="shared" si="11"/>
        <v>1406.0266666666666</v>
      </c>
      <c r="G31" s="102">
        <f t="shared" si="11"/>
        <v>730.87666666666667</v>
      </c>
      <c r="H31" s="102">
        <f t="shared" si="11"/>
        <v>820.89666666666665</v>
      </c>
      <c r="I31" s="102">
        <f t="shared" si="11"/>
        <v>878.76666666666665</v>
      </c>
      <c r="J31" s="102">
        <f t="shared" si="11"/>
        <v>743.73666666666668</v>
      </c>
      <c r="K31" s="102">
        <f t="shared" si="11"/>
        <v>878.76666666666665</v>
      </c>
      <c r="L31" s="102">
        <f t="shared" si="11"/>
        <v>1682.5166666666667</v>
      </c>
      <c r="M31" s="102">
        <f t="shared" si="11"/>
        <v>1180.9766666666667</v>
      </c>
      <c r="N31" s="102">
        <f t="shared" si="11"/>
        <v>788.74666666666667</v>
      </c>
      <c r="O31" s="90">
        <f t="shared" si="5"/>
        <v>11574</v>
      </c>
      <c r="P31" s="78">
        <v>18004</v>
      </c>
      <c r="Q31" s="1"/>
      <c r="R31" s="2"/>
      <c r="S31" s="2"/>
    </row>
    <row r="32" spans="1:19" x14ac:dyDescent="0.3">
      <c r="A32" s="17">
        <v>6240</v>
      </c>
      <c r="B32" s="105" t="s">
        <v>83</v>
      </c>
      <c r="C32" s="102">
        <f t="shared" ref="C32:N33" si="12">$P32/12</f>
        <v>2250</v>
      </c>
      <c r="D32" s="102">
        <f t="shared" si="12"/>
        <v>2250</v>
      </c>
      <c r="E32" s="102">
        <f t="shared" si="12"/>
        <v>2250</v>
      </c>
      <c r="F32" s="102">
        <f t="shared" si="12"/>
        <v>2250</v>
      </c>
      <c r="G32" s="102">
        <f t="shared" si="12"/>
        <v>2250</v>
      </c>
      <c r="H32" s="102">
        <f t="shared" si="12"/>
        <v>2250</v>
      </c>
      <c r="I32" s="102">
        <f t="shared" si="12"/>
        <v>2250</v>
      </c>
      <c r="J32" s="102">
        <f t="shared" si="12"/>
        <v>2250</v>
      </c>
      <c r="K32" s="102">
        <f t="shared" si="12"/>
        <v>2250</v>
      </c>
      <c r="L32" s="102">
        <f t="shared" si="12"/>
        <v>2250</v>
      </c>
      <c r="M32" s="102">
        <f t="shared" si="12"/>
        <v>2250</v>
      </c>
      <c r="N32" s="102">
        <f t="shared" si="12"/>
        <v>2250</v>
      </c>
      <c r="O32" s="90">
        <f t="shared" si="5"/>
        <v>27000</v>
      </c>
      <c r="P32" s="78">
        <v>27000</v>
      </c>
      <c r="Q32" s="1"/>
      <c r="R32" s="2"/>
      <c r="S32" s="2"/>
    </row>
    <row r="33" spans="1:27" x14ac:dyDescent="0.3">
      <c r="A33" s="17">
        <v>6250</v>
      </c>
      <c r="B33" s="89" t="s">
        <v>84</v>
      </c>
      <c r="C33" s="102">
        <f t="shared" si="12"/>
        <v>400</v>
      </c>
      <c r="D33" s="102">
        <f t="shared" si="12"/>
        <v>400</v>
      </c>
      <c r="E33" s="102">
        <f t="shared" si="12"/>
        <v>400</v>
      </c>
      <c r="F33" s="102">
        <f t="shared" si="12"/>
        <v>400</v>
      </c>
      <c r="G33" s="102">
        <f t="shared" si="12"/>
        <v>400</v>
      </c>
      <c r="H33" s="102">
        <f t="shared" si="12"/>
        <v>400</v>
      </c>
      <c r="I33" s="102">
        <f t="shared" si="12"/>
        <v>400</v>
      </c>
      <c r="J33" s="102">
        <f t="shared" si="12"/>
        <v>400</v>
      </c>
      <c r="K33" s="102">
        <f t="shared" si="12"/>
        <v>400</v>
      </c>
      <c r="L33" s="102">
        <f t="shared" si="12"/>
        <v>400</v>
      </c>
      <c r="M33" s="102">
        <f t="shared" si="12"/>
        <v>400</v>
      </c>
      <c r="N33" s="102">
        <f t="shared" si="12"/>
        <v>400</v>
      </c>
      <c r="O33" s="90">
        <f t="shared" si="5"/>
        <v>4800</v>
      </c>
      <c r="P33" s="78">
        <v>4800</v>
      </c>
      <c r="Q33" s="1"/>
      <c r="R33" s="2"/>
      <c r="S33" s="2"/>
    </row>
    <row r="34" spans="1:27" x14ac:dyDescent="0.3">
      <c r="A34" s="17">
        <v>6260</v>
      </c>
      <c r="B34" s="89" t="s">
        <v>85</v>
      </c>
      <c r="C34" s="102">
        <v>0</v>
      </c>
      <c r="D34" s="102">
        <v>350</v>
      </c>
      <c r="E34" s="102">
        <v>1200</v>
      </c>
      <c r="F34" s="102">
        <v>750</v>
      </c>
      <c r="G34" s="102">
        <v>0</v>
      </c>
      <c r="H34" s="102">
        <v>600</v>
      </c>
      <c r="I34" s="102">
        <v>0</v>
      </c>
      <c r="J34" s="102">
        <v>0</v>
      </c>
      <c r="K34" s="102">
        <v>2800</v>
      </c>
      <c r="L34" s="102">
        <v>0</v>
      </c>
      <c r="M34" s="102">
        <v>300</v>
      </c>
      <c r="N34" s="102">
        <v>0</v>
      </c>
      <c r="O34" s="90">
        <f t="shared" si="5"/>
        <v>6000</v>
      </c>
      <c r="P34" s="78">
        <v>6000</v>
      </c>
      <c r="Q34" s="1"/>
      <c r="R34" s="2"/>
      <c r="S34" s="2"/>
    </row>
    <row r="35" spans="1:27" x14ac:dyDescent="0.3">
      <c r="A35" s="17">
        <v>6270</v>
      </c>
      <c r="B35" s="89" t="s">
        <v>86</v>
      </c>
      <c r="C35" s="91">
        <f t="shared" ref="C35:N35" si="13">SUM($P35*C$4)</f>
        <v>2210</v>
      </c>
      <c r="D35" s="91">
        <f t="shared" si="13"/>
        <v>680</v>
      </c>
      <c r="E35" s="91">
        <f t="shared" si="13"/>
        <v>1360</v>
      </c>
      <c r="F35" s="91">
        <f t="shared" si="13"/>
        <v>850</v>
      </c>
      <c r="G35" s="91">
        <f t="shared" si="13"/>
        <v>680</v>
      </c>
      <c r="H35" s="91">
        <f t="shared" si="13"/>
        <v>850</v>
      </c>
      <c r="I35" s="91">
        <f t="shared" si="13"/>
        <v>1190</v>
      </c>
      <c r="J35" s="91">
        <f t="shared" si="13"/>
        <v>1700</v>
      </c>
      <c r="K35" s="91">
        <f t="shared" si="13"/>
        <v>1020</v>
      </c>
      <c r="L35" s="91">
        <f t="shared" si="13"/>
        <v>2890</v>
      </c>
      <c r="M35" s="91">
        <f t="shared" si="13"/>
        <v>2720</v>
      </c>
      <c r="N35" s="91">
        <f t="shared" si="13"/>
        <v>850</v>
      </c>
      <c r="O35" s="90">
        <f t="shared" si="5"/>
        <v>17000</v>
      </c>
      <c r="P35" s="78">
        <v>17000</v>
      </c>
      <c r="Q35" s="1"/>
      <c r="R35" s="2"/>
      <c r="S35" s="2"/>
    </row>
    <row r="36" spans="1:27" x14ac:dyDescent="0.3">
      <c r="A36" s="17">
        <v>6280</v>
      </c>
      <c r="B36" s="105" t="s">
        <v>87</v>
      </c>
      <c r="C36" s="102">
        <f t="shared" ref="C36:N37" si="14">$P36/12</f>
        <v>1250</v>
      </c>
      <c r="D36" s="102">
        <f t="shared" si="14"/>
        <v>1250</v>
      </c>
      <c r="E36" s="102">
        <f t="shared" si="14"/>
        <v>1250</v>
      </c>
      <c r="F36" s="102">
        <f t="shared" si="14"/>
        <v>1250</v>
      </c>
      <c r="G36" s="102">
        <f t="shared" si="14"/>
        <v>1250</v>
      </c>
      <c r="H36" s="102">
        <f t="shared" si="14"/>
        <v>1250</v>
      </c>
      <c r="I36" s="102">
        <f t="shared" si="14"/>
        <v>1250</v>
      </c>
      <c r="J36" s="102">
        <f t="shared" si="14"/>
        <v>1250</v>
      </c>
      <c r="K36" s="102">
        <f t="shared" si="14"/>
        <v>1250</v>
      </c>
      <c r="L36" s="102">
        <f t="shared" si="14"/>
        <v>1250</v>
      </c>
      <c r="M36" s="102">
        <f t="shared" si="14"/>
        <v>1250</v>
      </c>
      <c r="N36" s="102">
        <f t="shared" si="14"/>
        <v>1250</v>
      </c>
      <c r="O36" s="90">
        <f t="shared" si="5"/>
        <v>15000</v>
      </c>
      <c r="P36" s="92">
        <v>15000</v>
      </c>
      <c r="Q36" s="1"/>
      <c r="R36" s="2"/>
      <c r="S36" s="2"/>
    </row>
    <row r="37" spans="1:27" x14ac:dyDescent="0.3">
      <c r="A37" s="17">
        <v>6290</v>
      </c>
      <c r="B37" s="105" t="s">
        <v>88</v>
      </c>
      <c r="C37" s="108">
        <f t="shared" si="14"/>
        <v>666.66666666666663</v>
      </c>
      <c r="D37" s="108">
        <f t="shared" si="14"/>
        <v>666.66666666666663</v>
      </c>
      <c r="E37" s="108">
        <f t="shared" si="14"/>
        <v>666.66666666666663</v>
      </c>
      <c r="F37" s="108">
        <f t="shared" si="14"/>
        <v>666.66666666666663</v>
      </c>
      <c r="G37" s="108">
        <f t="shared" si="14"/>
        <v>666.66666666666663</v>
      </c>
      <c r="H37" s="108">
        <f t="shared" si="14"/>
        <v>666.66666666666663</v>
      </c>
      <c r="I37" s="108">
        <f t="shared" si="14"/>
        <v>666.66666666666663</v>
      </c>
      <c r="J37" s="108">
        <f t="shared" si="14"/>
        <v>666.66666666666663</v>
      </c>
      <c r="K37" s="108">
        <f t="shared" si="14"/>
        <v>666.66666666666663</v>
      </c>
      <c r="L37" s="108">
        <f t="shared" si="14"/>
        <v>666.66666666666663</v>
      </c>
      <c r="M37" s="108">
        <f t="shared" si="14"/>
        <v>666.66666666666663</v>
      </c>
      <c r="N37" s="108">
        <f t="shared" si="14"/>
        <v>666.66666666666663</v>
      </c>
      <c r="O37" s="90">
        <f t="shared" si="5"/>
        <v>8000.0000000000009</v>
      </c>
      <c r="P37" s="78">
        <v>8000</v>
      </c>
      <c r="Q37" s="1"/>
      <c r="R37" s="2"/>
      <c r="S37" s="2"/>
    </row>
    <row r="38" spans="1:27" x14ac:dyDescent="0.3">
      <c r="A38" s="17">
        <v>6300</v>
      </c>
      <c r="B38" s="109" t="s">
        <v>89</v>
      </c>
      <c r="C38" s="110">
        <v>0</v>
      </c>
      <c r="D38" s="110">
        <v>0</v>
      </c>
      <c r="E38" s="110">
        <v>1700</v>
      </c>
      <c r="F38" s="110">
        <v>0</v>
      </c>
      <c r="G38" s="110">
        <v>0</v>
      </c>
      <c r="H38" s="110">
        <v>2800</v>
      </c>
      <c r="I38" s="110">
        <v>0</v>
      </c>
      <c r="J38" s="110">
        <v>0</v>
      </c>
      <c r="K38" s="110">
        <v>2500</v>
      </c>
      <c r="L38" s="110">
        <v>0</v>
      </c>
      <c r="M38" s="110">
        <v>0</v>
      </c>
      <c r="N38" s="110">
        <v>0</v>
      </c>
      <c r="O38" s="111">
        <f t="shared" si="5"/>
        <v>7000</v>
      </c>
      <c r="P38" s="78">
        <v>7000</v>
      </c>
      <c r="Q38" s="1"/>
      <c r="R38" s="2"/>
      <c r="S38" s="2"/>
    </row>
    <row r="39" spans="1:27" x14ac:dyDescent="0.3">
      <c r="A39" s="17"/>
      <c r="B39" s="112" t="s">
        <v>90</v>
      </c>
      <c r="C39" s="113">
        <f t="shared" ref="C39:P39" si="15">SUM(C19:C38)</f>
        <v>32416.003333333334</v>
      </c>
      <c r="D39" s="113">
        <f t="shared" si="15"/>
        <v>26626.693333333333</v>
      </c>
      <c r="E39" s="113">
        <f t="shared" si="15"/>
        <v>32130.993333333336</v>
      </c>
      <c r="F39" s="113">
        <f t="shared" si="15"/>
        <v>38209.693333333329</v>
      </c>
      <c r="G39" s="113">
        <f t="shared" si="15"/>
        <v>25124.543333333335</v>
      </c>
      <c r="H39" s="113">
        <f t="shared" si="15"/>
        <v>31854.563333333335</v>
      </c>
      <c r="I39" s="113">
        <f t="shared" si="15"/>
        <v>30142.433333333338</v>
      </c>
      <c r="J39" s="113">
        <f t="shared" si="15"/>
        <v>29527.403333333335</v>
      </c>
      <c r="K39" s="113">
        <f t="shared" si="15"/>
        <v>35042.433333333334</v>
      </c>
      <c r="L39" s="113">
        <f t="shared" si="15"/>
        <v>50276.183333333334</v>
      </c>
      <c r="M39" s="113">
        <f t="shared" si="15"/>
        <v>40874.643333333333</v>
      </c>
      <c r="N39" s="113">
        <f t="shared" si="15"/>
        <v>29152.413333333334</v>
      </c>
      <c r="O39" s="114">
        <f t="shared" si="15"/>
        <v>401378</v>
      </c>
      <c r="P39" s="83">
        <f t="shared" si="15"/>
        <v>407808</v>
      </c>
      <c r="Q39" s="1"/>
      <c r="R39" s="2"/>
      <c r="S39" s="2"/>
    </row>
    <row r="40" spans="1:27" x14ac:dyDescent="0.3">
      <c r="A40" s="24"/>
      <c r="B40" s="115" t="s">
        <v>91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7"/>
      <c r="Q40" s="1"/>
      <c r="R40" s="2"/>
      <c r="S40" s="2"/>
    </row>
    <row r="41" spans="1:27" x14ac:dyDescent="0.3">
      <c r="A41" s="24">
        <v>6310</v>
      </c>
      <c r="B41" s="118" t="s">
        <v>92</v>
      </c>
      <c r="C41" s="110">
        <f t="shared" ref="C41:N43" si="16">$P41/12</f>
        <v>1250</v>
      </c>
      <c r="D41" s="110">
        <f t="shared" si="16"/>
        <v>1250</v>
      </c>
      <c r="E41" s="110">
        <f t="shared" si="16"/>
        <v>1250</v>
      </c>
      <c r="F41" s="110">
        <f t="shared" si="16"/>
        <v>1250</v>
      </c>
      <c r="G41" s="110">
        <f t="shared" si="16"/>
        <v>1250</v>
      </c>
      <c r="H41" s="110">
        <f t="shared" si="16"/>
        <v>1250</v>
      </c>
      <c r="I41" s="110">
        <f t="shared" si="16"/>
        <v>1250</v>
      </c>
      <c r="J41" s="110">
        <f t="shared" si="16"/>
        <v>1250</v>
      </c>
      <c r="K41" s="110">
        <f t="shared" si="16"/>
        <v>1250</v>
      </c>
      <c r="L41" s="110">
        <f t="shared" si="16"/>
        <v>1250</v>
      </c>
      <c r="M41" s="110">
        <f t="shared" si="16"/>
        <v>1250</v>
      </c>
      <c r="N41" s="110">
        <f t="shared" si="16"/>
        <v>1250</v>
      </c>
      <c r="O41" s="119">
        <f>SUM(C41:N41)</f>
        <v>15000</v>
      </c>
      <c r="P41" s="78">
        <v>15000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3">
      <c r="A42" s="25">
        <v>6320</v>
      </c>
      <c r="B42" s="118" t="s">
        <v>93</v>
      </c>
      <c r="C42" s="110">
        <f t="shared" si="16"/>
        <v>2500</v>
      </c>
      <c r="D42" s="110">
        <f t="shared" si="16"/>
        <v>2500</v>
      </c>
      <c r="E42" s="110">
        <f t="shared" si="16"/>
        <v>2500</v>
      </c>
      <c r="F42" s="110">
        <f t="shared" si="16"/>
        <v>2500</v>
      </c>
      <c r="G42" s="110">
        <f t="shared" si="16"/>
        <v>2500</v>
      </c>
      <c r="H42" s="110">
        <f t="shared" si="16"/>
        <v>2500</v>
      </c>
      <c r="I42" s="110">
        <f t="shared" si="16"/>
        <v>2500</v>
      </c>
      <c r="J42" s="110">
        <f t="shared" si="16"/>
        <v>2500</v>
      </c>
      <c r="K42" s="110">
        <f t="shared" si="16"/>
        <v>2500</v>
      </c>
      <c r="L42" s="110">
        <f t="shared" si="16"/>
        <v>2500</v>
      </c>
      <c r="M42" s="110">
        <f t="shared" si="16"/>
        <v>2500</v>
      </c>
      <c r="N42" s="110">
        <f t="shared" si="16"/>
        <v>2500</v>
      </c>
      <c r="O42" s="119">
        <f>SUM(C42:N42)</f>
        <v>30000</v>
      </c>
      <c r="P42" s="78">
        <v>30000</v>
      </c>
      <c r="Q42" s="10"/>
      <c r="R42" s="14"/>
      <c r="S42" s="14"/>
    </row>
    <row r="43" spans="1:27" x14ac:dyDescent="0.3">
      <c r="A43" s="24">
        <v>6330</v>
      </c>
      <c r="B43" s="118" t="s">
        <v>94</v>
      </c>
      <c r="C43" s="110">
        <f t="shared" si="16"/>
        <v>1000</v>
      </c>
      <c r="D43" s="110">
        <f t="shared" si="16"/>
        <v>1000</v>
      </c>
      <c r="E43" s="110">
        <f t="shared" si="16"/>
        <v>1000</v>
      </c>
      <c r="F43" s="110">
        <f t="shared" si="16"/>
        <v>1000</v>
      </c>
      <c r="G43" s="110">
        <f t="shared" si="16"/>
        <v>1000</v>
      </c>
      <c r="H43" s="110">
        <f t="shared" si="16"/>
        <v>1000</v>
      </c>
      <c r="I43" s="110">
        <f t="shared" si="16"/>
        <v>1000</v>
      </c>
      <c r="J43" s="110">
        <f t="shared" si="16"/>
        <v>1000</v>
      </c>
      <c r="K43" s="110">
        <f t="shared" si="16"/>
        <v>1000</v>
      </c>
      <c r="L43" s="110">
        <f t="shared" si="16"/>
        <v>1000</v>
      </c>
      <c r="M43" s="110">
        <f t="shared" si="16"/>
        <v>1000</v>
      </c>
      <c r="N43" s="110">
        <f t="shared" si="16"/>
        <v>1000</v>
      </c>
      <c r="O43" s="119">
        <f>SUM(C43:N43)</f>
        <v>12000</v>
      </c>
      <c r="P43" s="78">
        <v>12000</v>
      </c>
      <c r="Q43" s="1"/>
      <c r="R43" s="2"/>
      <c r="S43" s="2"/>
    </row>
    <row r="44" spans="1:27" x14ac:dyDescent="0.3">
      <c r="A44" s="24"/>
      <c r="B44" s="120" t="s">
        <v>95</v>
      </c>
      <c r="C44" s="121">
        <f t="shared" ref="C44:P44" si="17">SUM(C41:C43)</f>
        <v>4750</v>
      </c>
      <c r="D44" s="121">
        <f t="shared" si="17"/>
        <v>4750</v>
      </c>
      <c r="E44" s="121">
        <f t="shared" si="17"/>
        <v>4750</v>
      </c>
      <c r="F44" s="121">
        <f t="shared" si="17"/>
        <v>4750</v>
      </c>
      <c r="G44" s="121">
        <f t="shared" si="17"/>
        <v>4750</v>
      </c>
      <c r="H44" s="121">
        <f t="shared" si="17"/>
        <v>4750</v>
      </c>
      <c r="I44" s="121">
        <f t="shared" si="17"/>
        <v>4750</v>
      </c>
      <c r="J44" s="121">
        <f t="shared" si="17"/>
        <v>4750</v>
      </c>
      <c r="K44" s="121">
        <f t="shared" si="17"/>
        <v>4750</v>
      </c>
      <c r="L44" s="121">
        <f t="shared" si="17"/>
        <v>4750</v>
      </c>
      <c r="M44" s="121">
        <f t="shared" si="17"/>
        <v>4750</v>
      </c>
      <c r="N44" s="121">
        <f t="shared" si="17"/>
        <v>4750</v>
      </c>
      <c r="O44" s="121">
        <f t="shared" si="17"/>
        <v>57000</v>
      </c>
      <c r="P44" s="122">
        <f t="shared" si="17"/>
        <v>57000</v>
      </c>
      <c r="Q44" s="1"/>
      <c r="R44" s="2"/>
      <c r="S44" s="2"/>
    </row>
    <row r="45" spans="1:27" x14ac:dyDescent="0.3">
      <c r="A45" s="24"/>
      <c r="B45" s="120" t="s">
        <v>96</v>
      </c>
      <c r="C45" s="122">
        <f t="shared" ref="C45:P45" si="18">SUM(C39+C44)</f>
        <v>37166.003333333334</v>
      </c>
      <c r="D45" s="122">
        <f t="shared" si="18"/>
        <v>31376.693333333333</v>
      </c>
      <c r="E45" s="122">
        <f t="shared" si="18"/>
        <v>36880.993333333332</v>
      </c>
      <c r="F45" s="122">
        <f t="shared" si="18"/>
        <v>42959.693333333329</v>
      </c>
      <c r="G45" s="122">
        <f t="shared" si="18"/>
        <v>29874.543333333335</v>
      </c>
      <c r="H45" s="122">
        <f t="shared" si="18"/>
        <v>36604.563333333339</v>
      </c>
      <c r="I45" s="122">
        <f t="shared" si="18"/>
        <v>34892.433333333334</v>
      </c>
      <c r="J45" s="122">
        <f t="shared" si="18"/>
        <v>34277.403333333335</v>
      </c>
      <c r="K45" s="122">
        <f t="shared" si="18"/>
        <v>39792.433333333334</v>
      </c>
      <c r="L45" s="122">
        <f t="shared" si="18"/>
        <v>55026.183333333334</v>
      </c>
      <c r="M45" s="122">
        <f t="shared" si="18"/>
        <v>45624.643333333333</v>
      </c>
      <c r="N45" s="122">
        <f t="shared" si="18"/>
        <v>33902.41333333333</v>
      </c>
      <c r="O45" s="122">
        <f t="shared" si="18"/>
        <v>458378</v>
      </c>
      <c r="P45" s="122">
        <f t="shared" si="18"/>
        <v>464808</v>
      </c>
      <c r="Q45" s="1"/>
      <c r="R45" s="2"/>
      <c r="S45" s="2"/>
    </row>
    <row r="46" spans="1:27" x14ac:dyDescent="0.3">
      <c r="A46" s="17"/>
      <c r="B46" s="123" t="s">
        <v>97</v>
      </c>
      <c r="C46" s="97">
        <f t="shared" ref="C46:P46" si="19">C15-C45</f>
        <v>4733.996666666666</v>
      </c>
      <c r="D46" s="97">
        <f t="shared" si="19"/>
        <v>17363.306666666667</v>
      </c>
      <c r="E46" s="97">
        <f t="shared" si="19"/>
        <v>23899.006666666668</v>
      </c>
      <c r="F46" s="97">
        <f t="shared" si="19"/>
        <v>15810.306666666671</v>
      </c>
      <c r="G46" s="97">
        <f t="shared" si="19"/>
        <v>35625.456666666665</v>
      </c>
      <c r="H46" s="97">
        <f t="shared" si="19"/>
        <v>17275.436666666661</v>
      </c>
      <c r="I46" s="97">
        <f t="shared" si="19"/>
        <v>1297.5666666666657</v>
      </c>
      <c r="J46" s="97">
        <f t="shared" si="19"/>
        <v>-52127.403333333335</v>
      </c>
      <c r="K46" s="97">
        <f t="shared" si="19"/>
        <v>-54732.433333333334</v>
      </c>
      <c r="L46" s="97">
        <f t="shared" si="19"/>
        <v>30423.816666666666</v>
      </c>
      <c r="M46" s="97">
        <f t="shared" si="19"/>
        <v>8635.3566666666666</v>
      </c>
      <c r="N46" s="97">
        <f t="shared" si="19"/>
        <v>27947.58666666667</v>
      </c>
      <c r="O46" s="97">
        <f t="shared" si="19"/>
        <v>751622</v>
      </c>
      <c r="P46" s="97">
        <f t="shared" si="19"/>
        <v>69722</v>
      </c>
      <c r="Q46" s="1"/>
      <c r="R46" s="2"/>
      <c r="S46" s="2"/>
    </row>
    <row r="47" spans="1:27" x14ac:dyDescent="0.3">
      <c r="A47" s="17"/>
      <c r="B47" s="124" t="s">
        <v>98</v>
      </c>
      <c r="C47" s="125">
        <f t="shared" ref="C47:N47" si="20">SUM(C46/C6)</f>
        <v>3.7100287356321836E-2</v>
      </c>
      <c r="D47" s="125">
        <f t="shared" si="20"/>
        <v>0.15204296555750146</v>
      </c>
      <c r="E47" s="125">
        <f t="shared" si="20"/>
        <v>0.24238343475321164</v>
      </c>
      <c r="F47" s="125">
        <f t="shared" si="20"/>
        <v>0.18277811175337191</v>
      </c>
      <c r="G47" s="125">
        <f t="shared" si="20"/>
        <v>0.40529529768676525</v>
      </c>
      <c r="H47" s="125">
        <f t="shared" si="20"/>
        <v>0.21978927056827813</v>
      </c>
      <c r="I47" s="125">
        <f t="shared" si="20"/>
        <v>1.6983856893542745E-2</v>
      </c>
      <c r="J47" s="125">
        <f t="shared" si="20"/>
        <v>-0.75987468415937809</v>
      </c>
      <c r="K47" s="125">
        <f t="shared" si="20"/>
        <v>-0.59298410978692673</v>
      </c>
      <c r="L47" s="125">
        <f t="shared" si="20"/>
        <v>0.22502822978303746</v>
      </c>
      <c r="M47" s="125">
        <f t="shared" si="20"/>
        <v>6.767520898641588E-2</v>
      </c>
      <c r="N47" s="125">
        <f t="shared" si="20"/>
        <v>0.23989344778254651</v>
      </c>
      <c r="O47" s="125"/>
      <c r="P47" s="125">
        <f>SUM(P46/P6)</f>
        <v>5.7621487603305786E-2</v>
      </c>
      <c r="Q47" s="2"/>
      <c r="R47" s="2"/>
      <c r="S47" s="2"/>
    </row>
    <row r="48" spans="1:27" hidden="1" x14ac:dyDescent="0.3">
      <c r="A48" s="24"/>
      <c r="B48" s="126" t="s">
        <v>60</v>
      </c>
      <c r="C48" s="19" t="e">
        <f>SUM(C$39+C$44)/#REF!</f>
        <v>#REF!</v>
      </c>
      <c r="D48" s="19" t="e">
        <f>SUM(D$39+D$44)/#REF!</f>
        <v>#REF!</v>
      </c>
      <c r="E48" s="19" t="e">
        <f>SUM(E$39+E$44)/#REF!</f>
        <v>#REF!</v>
      </c>
      <c r="F48" s="19" t="e">
        <f>SUM(F$39+F$44)/#REF!</f>
        <v>#REF!</v>
      </c>
      <c r="G48" s="19" t="e">
        <f>SUM(G$39+G$44)/#REF!</f>
        <v>#REF!</v>
      </c>
      <c r="H48" s="19" t="e">
        <f>SUM(H$39+H$44)/#REF!</f>
        <v>#REF!</v>
      </c>
      <c r="I48" s="19" t="e">
        <f>SUM(I$39+I$44)/#REF!</f>
        <v>#REF!</v>
      </c>
      <c r="J48" s="19" t="e">
        <f>SUM(J$39+J$44)/#REF!</f>
        <v>#REF!</v>
      </c>
      <c r="K48" s="19" t="e">
        <f>SUM(K$39+K$44)/#REF!</f>
        <v>#REF!</v>
      </c>
      <c r="L48" s="19" t="e">
        <f>SUM(L$39+L$44)/#REF!</f>
        <v>#REF!</v>
      </c>
      <c r="M48" s="19" t="e">
        <f>SUM(M$39+M$44)/#REF!</f>
        <v>#REF!</v>
      </c>
      <c r="N48" s="19" t="e">
        <f>SUM(N$39+N$44)/#REF!</f>
        <v>#REF!</v>
      </c>
      <c r="O48" s="19" t="e">
        <f>SUM(O$39+O$44)/#REF!</f>
        <v>#REF!</v>
      </c>
      <c r="P48" s="20" t="e">
        <f>SUM(P$39+P$44)/#REF!</f>
        <v>#REF!</v>
      </c>
      <c r="Q48" s="2"/>
      <c r="R48" s="2"/>
      <c r="S48" s="2"/>
    </row>
    <row r="49" spans="1:27" x14ac:dyDescent="0.3">
      <c r="A49" s="24"/>
      <c r="B49" s="6"/>
      <c r="C49" s="5"/>
      <c r="D49" s="5"/>
      <c r="E49" s="5"/>
      <c r="F49" s="5"/>
      <c r="G49" s="5"/>
      <c r="H49" s="6"/>
      <c r="I49" s="6"/>
      <c r="J49" s="6"/>
      <c r="K49" s="6"/>
      <c r="L49" s="6"/>
      <c r="M49" s="6"/>
      <c r="N49" s="6"/>
      <c r="O49" s="6"/>
      <c r="P49" s="127"/>
      <c r="Q49" s="2"/>
      <c r="R49" s="2"/>
      <c r="S49" s="2"/>
    </row>
    <row r="50" spans="1:27" ht="15.75" customHeight="1" x14ac:dyDescent="0.3">
      <c r="A50" s="24"/>
      <c r="B50" s="131" t="s">
        <v>42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3"/>
      <c r="Q50" s="1"/>
      <c r="R50" s="2"/>
      <c r="S50" s="2"/>
    </row>
    <row r="51" spans="1:27" x14ac:dyDescent="0.3">
      <c r="A51" s="24"/>
      <c r="B51" s="128"/>
      <c r="C51" s="129"/>
      <c r="D51" s="129"/>
      <c r="E51" s="129"/>
      <c r="F51" s="129"/>
      <c r="G51" s="129"/>
      <c r="H51" s="128"/>
      <c r="I51" s="128"/>
      <c r="J51" s="128"/>
      <c r="K51" s="128"/>
      <c r="L51" s="128"/>
      <c r="M51" s="128"/>
      <c r="N51" s="128"/>
      <c r="O51" s="128"/>
      <c r="P51" s="26"/>
      <c r="Q51" s="2"/>
      <c r="R51" s="2"/>
      <c r="S51" s="2"/>
    </row>
    <row r="52" spans="1:27" x14ac:dyDescent="0.3">
      <c r="A52" s="24"/>
      <c r="B52" s="4"/>
      <c r="C52" s="3"/>
      <c r="D52" s="3"/>
      <c r="E52" s="3"/>
      <c r="F52" s="3"/>
      <c r="G52" s="3"/>
      <c r="H52" s="4"/>
      <c r="I52" s="4"/>
      <c r="J52" s="4"/>
      <c r="K52" s="4"/>
      <c r="L52" s="4"/>
      <c r="M52" s="4"/>
      <c r="N52" s="4"/>
      <c r="O52" s="4"/>
      <c r="P52" s="27"/>
      <c r="Q52" s="2"/>
      <c r="R52" s="2"/>
      <c r="S52" s="2"/>
      <c r="Z52" s="28"/>
      <c r="AA52" s="28"/>
    </row>
    <row r="53" spans="1:27" x14ac:dyDescent="0.3">
      <c r="A53" s="24"/>
      <c r="B53" s="4"/>
      <c r="C53" s="3"/>
      <c r="D53" s="3"/>
      <c r="E53" s="3"/>
      <c r="F53" s="3"/>
      <c r="G53" s="3"/>
      <c r="H53" s="4"/>
      <c r="I53" s="4"/>
      <c r="J53" s="4"/>
      <c r="K53" s="4"/>
      <c r="L53" s="4"/>
      <c r="M53" s="4"/>
      <c r="N53" s="4"/>
      <c r="O53" s="4"/>
      <c r="P53" s="27"/>
      <c r="Q53" s="2"/>
      <c r="R53" s="2"/>
      <c r="S53" s="2"/>
      <c r="Z53" s="28"/>
      <c r="AA53" s="28"/>
    </row>
    <row r="54" spans="1:27" x14ac:dyDescent="0.3">
      <c r="A54" s="24"/>
      <c r="B54" s="4"/>
      <c r="C54" s="3"/>
      <c r="D54" s="3"/>
      <c r="E54" s="3"/>
      <c r="F54" s="3"/>
      <c r="G54" s="3"/>
      <c r="H54" s="4"/>
      <c r="I54" s="4"/>
      <c r="J54" s="4"/>
      <c r="K54" s="4"/>
      <c r="L54" s="4"/>
      <c r="M54" s="4"/>
      <c r="N54" s="4"/>
      <c r="O54" s="4"/>
      <c r="P54" s="27"/>
      <c r="Q54" s="2"/>
      <c r="R54" s="2"/>
      <c r="S54" s="2"/>
      <c r="Z54" s="28"/>
      <c r="AA54" s="28"/>
    </row>
    <row r="55" spans="1:27" x14ac:dyDescent="0.3">
      <c r="A55" s="24"/>
      <c r="B55" s="4"/>
      <c r="C55" s="3"/>
      <c r="D55" s="3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  <c r="P55" s="27"/>
      <c r="Q55" s="2"/>
      <c r="R55" s="2"/>
      <c r="S55" s="2"/>
      <c r="Z55" s="28"/>
      <c r="AA55" s="28"/>
    </row>
    <row r="56" spans="1:27" x14ac:dyDescent="0.3">
      <c r="A56" s="24"/>
      <c r="B56" s="4"/>
      <c r="C56" s="3"/>
      <c r="D56" s="3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  <c r="P56" s="27"/>
      <c r="Q56" s="2"/>
      <c r="R56" s="2"/>
      <c r="S56" s="2"/>
      <c r="Z56" s="28"/>
      <c r="AA56" s="28"/>
    </row>
    <row r="57" spans="1:27" x14ac:dyDescent="0.3">
      <c r="A57" s="24"/>
      <c r="B57" s="4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  <c r="P57" s="27"/>
      <c r="Q57" s="2"/>
      <c r="R57" s="2"/>
      <c r="S57" s="2"/>
      <c r="Z57" s="28"/>
      <c r="AA57" s="28"/>
    </row>
  </sheetData>
  <sheetProtection algorithmName="SHA-512" hashValue="xPRCEhzaZl+Pr5IDDdwd6sY7vKMfCvyfRfxrHH5NwvPioVPb/fyQelZ2JZX7OaQrFXsrFGoa8r+w9NJLUXJ8yw==" saltValue="Ijl8LDxkRZ+Py1zcPiFc2w==" spinCount="100000" sheet="1" objects="1" scenarios="1"/>
  <mergeCells count="1">
    <mergeCell ref="B50:P50"/>
  </mergeCells>
  <pageMargins left="0.7" right="0.7" top="0.75" bottom="0.75" header="0.3" footer="0.3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49B1B6CD66F478903CE867A080686" ma:contentTypeVersion="16" ma:contentTypeDescription="Create a new document." ma:contentTypeScope="" ma:versionID="1af4834efbbd1b2729b54b8ff046068e">
  <xsd:schema xmlns:xsd="http://www.w3.org/2001/XMLSchema" xmlns:xs="http://www.w3.org/2001/XMLSchema" xmlns:p="http://schemas.microsoft.com/office/2006/metadata/properties" xmlns:ns2="8ba1e6a2-84cd-4a33-9b85-fe41ea876599" xmlns:ns3="2e35ebcd-4537-48ad-bfb6-49619c10d153" targetNamespace="http://schemas.microsoft.com/office/2006/metadata/properties" ma:root="true" ma:fieldsID="77fd38da7a09c4504ee9c97cdb2fbe31" ns2:_="" ns3:_="">
    <xsd:import namespace="8ba1e6a2-84cd-4a33-9b85-fe41ea876599"/>
    <xsd:import namespace="2e35ebcd-4537-48ad-bfb6-49619c10d1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e6a2-84cd-4a33-9b85-fe41ea8765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2e2998-82a8-4d98-ae4b-1f38996a4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5ebcd-4537-48ad-bfb6-49619c10d1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ce04e80-5c3b-4c6e-8e59-298e2d49b0cc}" ma:internalName="TaxCatchAll" ma:showField="CatchAllData" ma:web="2e35ebcd-4537-48ad-bfb6-49619c10d1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35ebcd-4537-48ad-bfb6-49619c10d153" xsi:nil="true"/>
    <lcf76f155ced4ddcb4097134ff3c332f xmlns="8ba1e6a2-84cd-4a33-9b85-fe41ea8765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01C910-0F90-4662-A2CC-B01A5C549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1e6a2-84cd-4a33-9b85-fe41ea876599"/>
    <ds:schemaRef ds:uri="2e35ebcd-4537-48ad-bfb6-49619c10d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2B24D-DF80-482A-9099-BAF8C6359D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2AB8A4-D265-4E72-A2F5-7739A98E3B50}">
  <ds:schemaRefs>
    <ds:schemaRef ds:uri="http://schemas.microsoft.com/office/2006/metadata/properties"/>
    <ds:schemaRef ds:uri="http://schemas.microsoft.com/office/infopath/2007/PartnerControls"/>
    <ds:schemaRef ds:uri="2e35ebcd-4537-48ad-bfb6-49619c10d153"/>
    <ds:schemaRef ds:uri="8ba1e6a2-84cd-4a33-9b85-fe41ea8765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Sheet</vt:lpstr>
      <vt:lpstr>Annual P&amp;L </vt:lpstr>
      <vt:lpstr>TTM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Scroggs</dc:creator>
  <cp:keywords/>
  <dc:description/>
  <cp:lastModifiedBy>Kim Dudas</cp:lastModifiedBy>
  <cp:revision/>
  <dcterms:created xsi:type="dcterms:W3CDTF">2025-04-11T16:38:25Z</dcterms:created>
  <dcterms:modified xsi:type="dcterms:W3CDTF">2025-06-24T20:50:06Z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0x010100B6E49B1B6CD66F478903CE867A080686</vt:lpwstr>
  </property>
  <property fmtid="{D5CDD505-2E9C-101B-9397-08002B2CF9AE}" pid="3" name="MediaServiceImageTags">
    <vt:lpwstr/>
  </property>
</Properties>
</file>