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kootenaypeaks.sharepoint.com/sites/BBAProgram/Shared Documents/Education/Advisement Resources/FLP Advisement Resources/FLP Spreadsheets/"/>
    </mc:Choice>
  </mc:AlternateContent>
  <xr:revisionPtr revIDLastSave="159" documentId="13_ncr:1_{B9A0CBBA-5A84-4C47-9638-E0D951A3E609}" xr6:coauthVersionLast="47" xr6:coauthVersionMax="47" xr10:uidLastSave="{2DBFE97C-7AAC-4396-8309-1691036600E0}"/>
  <bookViews>
    <workbookView minimized="1" xWindow="1536" yWindow="1536" windowWidth="17280" windowHeight="8880" activeTab="2" xr2:uid="{B56A38D6-88CB-4CEE-AEF6-D02F69D9E971}"/>
  </bookViews>
  <sheets>
    <sheet name="Balance Sheet" sheetId="3" r:id="rId1"/>
    <sheet name="Annual P&amp;L " sheetId="5" r:id="rId2"/>
    <sheet name="TTM (2)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6" i="6" l="1"/>
  <c r="N75" i="6"/>
  <c r="M75" i="6"/>
  <c r="L75" i="6"/>
  <c r="K75" i="6"/>
  <c r="J75" i="6"/>
  <c r="I75" i="6"/>
  <c r="H75" i="6"/>
  <c r="G75" i="6"/>
  <c r="F75" i="6"/>
  <c r="E75" i="6"/>
  <c r="D75" i="6"/>
  <c r="C75" i="6"/>
  <c r="O75" i="6" s="1"/>
  <c r="N74" i="6"/>
  <c r="M74" i="6"/>
  <c r="L74" i="6"/>
  <c r="K74" i="6"/>
  <c r="J74" i="6"/>
  <c r="I74" i="6"/>
  <c r="H74" i="6"/>
  <c r="G74" i="6"/>
  <c r="F74" i="6"/>
  <c r="E74" i="6"/>
  <c r="D74" i="6"/>
  <c r="C74" i="6"/>
  <c r="O74" i="6" s="1"/>
  <c r="N73" i="6"/>
  <c r="N76" i="6" s="1"/>
  <c r="M73" i="6"/>
  <c r="M76" i="6" s="1"/>
  <c r="L73" i="6"/>
  <c r="L76" i="6" s="1"/>
  <c r="K73" i="6"/>
  <c r="K76" i="6" s="1"/>
  <c r="J73" i="6"/>
  <c r="J76" i="6" s="1"/>
  <c r="I73" i="6"/>
  <c r="I76" i="6" s="1"/>
  <c r="H73" i="6"/>
  <c r="G73" i="6"/>
  <c r="G76" i="6" s="1"/>
  <c r="F73" i="6"/>
  <c r="F76" i="6" s="1"/>
  <c r="E73" i="6"/>
  <c r="E76" i="6" s="1"/>
  <c r="D73" i="6"/>
  <c r="D76" i="6" s="1"/>
  <c r="C73" i="6"/>
  <c r="O73" i="6" s="1"/>
  <c r="O76" i="6" s="1"/>
  <c r="P70" i="6"/>
  <c r="O70" i="6"/>
  <c r="P69" i="6"/>
  <c r="O69" i="6"/>
  <c r="P68" i="6"/>
  <c r="O68" i="6"/>
  <c r="P67" i="6"/>
  <c r="O67" i="6"/>
  <c r="P66" i="6"/>
  <c r="O66" i="6"/>
  <c r="P65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4" i="6" s="1"/>
  <c r="P62" i="6"/>
  <c r="O62" i="6"/>
  <c r="O63" i="6" s="1"/>
  <c r="P61" i="6"/>
  <c r="O61" i="6"/>
  <c r="P60" i="6"/>
  <c r="O60" i="6"/>
  <c r="P59" i="6"/>
  <c r="O59" i="6"/>
  <c r="P58" i="6"/>
  <c r="O58" i="6"/>
  <c r="P57" i="6"/>
  <c r="O57" i="6"/>
  <c r="P56" i="6"/>
  <c r="O56" i="6"/>
  <c r="P55" i="6"/>
  <c r="O55" i="6"/>
  <c r="P54" i="6"/>
  <c r="O54" i="6"/>
  <c r="P53" i="6"/>
  <c r="O53" i="6"/>
  <c r="O71" i="6" s="1"/>
  <c r="Q50" i="6"/>
  <c r="N43" i="6"/>
  <c r="M43" i="6"/>
  <c r="L43" i="6"/>
  <c r="K43" i="6"/>
  <c r="J43" i="6"/>
  <c r="I43" i="6"/>
  <c r="H43" i="6"/>
  <c r="G43" i="6"/>
  <c r="F43" i="6"/>
  <c r="E43" i="6"/>
  <c r="D43" i="6"/>
  <c r="C43" i="6"/>
  <c r="P43" i="6" s="1"/>
  <c r="N42" i="6"/>
  <c r="M42" i="6"/>
  <c r="L42" i="6"/>
  <c r="K42" i="6"/>
  <c r="J42" i="6"/>
  <c r="I42" i="6"/>
  <c r="H42" i="6"/>
  <c r="G42" i="6"/>
  <c r="F42" i="6"/>
  <c r="E42" i="6"/>
  <c r="D42" i="6"/>
  <c r="C42" i="6"/>
  <c r="P42" i="6" s="1"/>
  <c r="N41" i="6"/>
  <c r="M41" i="6"/>
  <c r="L41" i="6"/>
  <c r="K41" i="6"/>
  <c r="J41" i="6"/>
  <c r="I41" i="6"/>
  <c r="H41" i="6"/>
  <c r="G41" i="6"/>
  <c r="F41" i="6"/>
  <c r="E41" i="6"/>
  <c r="D41" i="6"/>
  <c r="C41" i="6"/>
  <c r="P41" i="6" s="1"/>
  <c r="N40" i="6"/>
  <c r="M40" i="6"/>
  <c r="L40" i="6"/>
  <c r="K40" i="6"/>
  <c r="J40" i="6"/>
  <c r="I40" i="6"/>
  <c r="H40" i="6"/>
  <c r="G40" i="6"/>
  <c r="F40" i="6"/>
  <c r="E40" i="6"/>
  <c r="D40" i="6"/>
  <c r="C40" i="6"/>
  <c r="P40" i="6" s="1"/>
  <c r="N39" i="6"/>
  <c r="N44" i="6" s="1"/>
  <c r="M39" i="6"/>
  <c r="M44" i="6" s="1"/>
  <c r="L39" i="6"/>
  <c r="K39" i="6"/>
  <c r="K44" i="6" s="1"/>
  <c r="J39" i="6"/>
  <c r="J44" i="6" s="1"/>
  <c r="I39" i="6"/>
  <c r="I44" i="6" s="1"/>
  <c r="H39" i="6"/>
  <c r="G39" i="6"/>
  <c r="F39" i="6"/>
  <c r="E39" i="6"/>
  <c r="E44" i="6" s="1"/>
  <c r="D39" i="6"/>
  <c r="D44" i="6" s="1"/>
  <c r="C39" i="6"/>
  <c r="C44" i="6" s="1"/>
  <c r="P38" i="6"/>
  <c r="O35" i="6"/>
  <c r="O34" i="6"/>
  <c r="N32" i="6"/>
  <c r="M32" i="6"/>
  <c r="L32" i="6"/>
  <c r="K32" i="6"/>
  <c r="J32" i="6"/>
  <c r="I32" i="6"/>
  <c r="H32" i="6"/>
  <c r="G32" i="6"/>
  <c r="F32" i="6"/>
  <c r="E32" i="6"/>
  <c r="D32" i="6"/>
  <c r="C32" i="6"/>
  <c r="P32" i="6" s="1"/>
  <c r="P31" i="6"/>
  <c r="O31" i="6"/>
  <c r="N30" i="6"/>
  <c r="N33" i="6" s="1"/>
  <c r="M30" i="6"/>
  <c r="M33" i="6" s="1"/>
  <c r="L30" i="6"/>
  <c r="L33" i="6" s="1"/>
  <c r="K30" i="6"/>
  <c r="K33" i="6" s="1"/>
  <c r="J30" i="6"/>
  <c r="J33" i="6" s="1"/>
  <c r="I30" i="6"/>
  <c r="I33" i="6" s="1"/>
  <c r="H30" i="6"/>
  <c r="G30" i="6"/>
  <c r="F30" i="6"/>
  <c r="E30" i="6"/>
  <c r="E33" i="6" s="1"/>
  <c r="E35" i="6" s="1"/>
  <c r="D30" i="6"/>
  <c r="D33" i="6" s="1"/>
  <c r="C30" i="6"/>
  <c r="C33" i="6" s="1"/>
  <c r="Q25" i="6"/>
  <c r="N25" i="6"/>
  <c r="M25" i="6"/>
  <c r="L25" i="6"/>
  <c r="K25" i="6"/>
  <c r="J25" i="6"/>
  <c r="J27" i="6" s="1"/>
  <c r="I25" i="6"/>
  <c r="I27" i="6" s="1"/>
  <c r="H25" i="6"/>
  <c r="H27" i="6" s="1"/>
  <c r="G25" i="6"/>
  <c r="F25" i="6"/>
  <c r="E25" i="6"/>
  <c r="E27" i="6" s="1"/>
  <c r="D25" i="6"/>
  <c r="D27" i="6" s="1"/>
  <c r="C25" i="6"/>
  <c r="P24" i="6"/>
  <c r="P23" i="6"/>
  <c r="P25" i="6" s="1"/>
  <c r="O23" i="6"/>
  <c r="O25" i="6" s="1"/>
  <c r="O18" i="6"/>
  <c r="N17" i="6"/>
  <c r="M17" i="6"/>
  <c r="L17" i="6"/>
  <c r="K17" i="6"/>
  <c r="J17" i="6"/>
  <c r="I17" i="6"/>
  <c r="H17" i="6"/>
  <c r="G17" i="6"/>
  <c r="F17" i="6"/>
  <c r="E17" i="6"/>
  <c r="D17" i="6"/>
  <c r="C17" i="6"/>
  <c r="P17" i="6" s="1"/>
  <c r="P16" i="6"/>
  <c r="N15" i="6"/>
  <c r="M15" i="6"/>
  <c r="L15" i="6"/>
  <c r="K15" i="6"/>
  <c r="J15" i="6"/>
  <c r="I15" i="6"/>
  <c r="H15" i="6"/>
  <c r="G15" i="6"/>
  <c r="F15" i="6"/>
  <c r="E15" i="6"/>
  <c r="D15" i="6"/>
  <c r="C15" i="6"/>
  <c r="N14" i="6"/>
  <c r="M14" i="6"/>
  <c r="L14" i="6"/>
  <c r="K14" i="6"/>
  <c r="J14" i="6"/>
  <c r="I14" i="6"/>
  <c r="H14" i="6"/>
  <c r="G14" i="6"/>
  <c r="F14" i="6"/>
  <c r="E14" i="6"/>
  <c r="D14" i="6"/>
  <c r="C14" i="6"/>
  <c r="P14" i="6" s="1"/>
  <c r="P18" i="6" s="1"/>
  <c r="N13" i="6"/>
  <c r="M13" i="6"/>
  <c r="M18" i="6" s="1"/>
  <c r="M20" i="6" s="1"/>
  <c r="L13" i="6"/>
  <c r="L18" i="6" s="1"/>
  <c r="K13" i="6"/>
  <c r="K18" i="6" s="1"/>
  <c r="J13" i="6"/>
  <c r="J18" i="6" s="1"/>
  <c r="I13" i="6"/>
  <c r="I18" i="6" s="1"/>
  <c r="H13" i="6"/>
  <c r="H18" i="6" s="1"/>
  <c r="G13" i="6"/>
  <c r="F13" i="6"/>
  <c r="F18" i="6" s="1"/>
  <c r="E13" i="6"/>
  <c r="E18" i="6" s="1"/>
  <c r="D13" i="6"/>
  <c r="D18" i="6" s="1"/>
  <c r="C13" i="6"/>
  <c r="R9" i="6"/>
  <c r="O9" i="6"/>
  <c r="N9" i="6"/>
  <c r="M9" i="6"/>
  <c r="L9" i="6"/>
  <c r="K9" i="6"/>
  <c r="J9" i="6"/>
  <c r="I9" i="6"/>
  <c r="H9" i="6"/>
  <c r="G9" i="6"/>
  <c r="F9" i="6"/>
  <c r="E9" i="6"/>
  <c r="D9" i="6"/>
  <c r="C9" i="6"/>
  <c r="P8" i="6"/>
  <c r="P7" i="6"/>
  <c r="P6" i="6"/>
  <c r="P26" i="6" s="1"/>
  <c r="P5" i="6"/>
  <c r="O4" i="6"/>
  <c r="C18" i="6" l="1"/>
  <c r="G18" i="6"/>
  <c r="N18" i="6"/>
  <c r="O20" i="6"/>
  <c r="O19" i="6"/>
  <c r="P27" i="6"/>
  <c r="C27" i="6"/>
  <c r="C26" i="6"/>
  <c r="F27" i="6"/>
  <c r="F26" i="6"/>
  <c r="G27" i="6"/>
  <c r="G26" i="6"/>
  <c r="K26" i="6"/>
  <c r="K27" i="6"/>
  <c r="L26" i="6"/>
  <c r="L27" i="6"/>
  <c r="M27" i="6"/>
  <c r="M26" i="6"/>
  <c r="N27" i="6"/>
  <c r="N26" i="6"/>
  <c r="F33" i="6"/>
  <c r="G33" i="6"/>
  <c r="H33" i="6"/>
  <c r="F63" i="6"/>
  <c r="F71" i="6" s="1"/>
  <c r="G63" i="6"/>
  <c r="G71" i="6" s="1"/>
  <c r="H63" i="6"/>
  <c r="H71" i="6" s="1"/>
  <c r="L63" i="6"/>
  <c r="L71" i="6" s="1"/>
  <c r="L44" i="6"/>
  <c r="H76" i="6"/>
  <c r="D19" i="6"/>
  <c r="D20" i="6"/>
  <c r="D48" i="6"/>
  <c r="E20" i="6"/>
  <c r="E19" i="6"/>
  <c r="E48" i="6"/>
  <c r="E46" i="6"/>
  <c r="E45" i="6"/>
  <c r="E49" i="6"/>
  <c r="N45" i="6"/>
  <c r="N46" i="6"/>
  <c r="F20" i="6"/>
  <c r="F19" i="6"/>
  <c r="K35" i="6"/>
  <c r="K34" i="6"/>
  <c r="G20" i="6"/>
  <c r="G19" i="6"/>
  <c r="O27" i="6"/>
  <c r="O26" i="6"/>
  <c r="L35" i="6"/>
  <c r="L34" i="6"/>
  <c r="F10" i="6"/>
  <c r="F77" i="6"/>
  <c r="F80" i="6"/>
  <c r="H20" i="6"/>
  <c r="H19" i="6"/>
  <c r="M35" i="6"/>
  <c r="M34" i="6"/>
  <c r="G77" i="6"/>
  <c r="G80" i="6"/>
  <c r="G10" i="6"/>
  <c r="P20" i="6"/>
  <c r="I48" i="6"/>
  <c r="I49" i="6" s="1"/>
  <c r="I19" i="6"/>
  <c r="I20" i="6"/>
  <c r="N34" i="6"/>
  <c r="N35" i="6"/>
  <c r="H77" i="6"/>
  <c r="H80" i="6"/>
  <c r="H10" i="6"/>
  <c r="J48" i="6"/>
  <c r="J49" i="6" s="1"/>
  <c r="J19" i="6"/>
  <c r="J20" i="6"/>
  <c r="C34" i="6"/>
  <c r="C35" i="6"/>
  <c r="I46" i="6"/>
  <c r="I45" i="6"/>
  <c r="K48" i="6"/>
  <c r="K49" i="6" s="1"/>
  <c r="K19" i="6"/>
  <c r="K20" i="6"/>
  <c r="D34" i="6"/>
  <c r="D35" i="6"/>
  <c r="J46" i="6"/>
  <c r="J45" i="6"/>
  <c r="L20" i="6"/>
  <c r="L19" i="6"/>
  <c r="L48" i="6"/>
  <c r="L49" i="6" s="1"/>
  <c r="K46" i="6"/>
  <c r="K45" i="6"/>
  <c r="L80" i="6"/>
  <c r="L10" i="6"/>
  <c r="L77" i="6"/>
  <c r="L46" i="6"/>
  <c r="L45" i="6"/>
  <c r="D49" i="6"/>
  <c r="M46" i="6"/>
  <c r="M45" i="6"/>
  <c r="N20" i="6"/>
  <c r="N48" i="6"/>
  <c r="N49" i="6" s="1"/>
  <c r="N19" i="6"/>
  <c r="I35" i="6"/>
  <c r="I34" i="6"/>
  <c r="G35" i="6"/>
  <c r="G34" i="6"/>
  <c r="C45" i="6"/>
  <c r="C46" i="6"/>
  <c r="C19" i="6"/>
  <c r="C20" i="6"/>
  <c r="C48" i="6"/>
  <c r="C49" i="6" s="1"/>
  <c r="F35" i="6"/>
  <c r="F34" i="6"/>
  <c r="J35" i="6"/>
  <c r="J34" i="6"/>
  <c r="H34" i="6"/>
  <c r="H35" i="6"/>
  <c r="D46" i="6"/>
  <c r="D45" i="6"/>
  <c r="O80" i="6"/>
  <c r="O10" i="6"/>
  <c r="O77" i="6"/>
  <c r="F44" i="6"/>
  <c r="F48" i="6" s="1"/>
  <c r="F49" i="6" s="1"/>
  <c r="I63" i="6"/>
  <c r="I71" i="6" s="1"/>
  <c r="E34" i="6"/>
  <c r="M19" i="6"/>
  <c r="D26" i="6"/>
  <c r="G44" i="6"/>
  <c r="G48" i="6" s="1"/>
  <c r="G49" i="6" s="1"/>
  <c r="M48" i="6"/>
  <c r="M49" i="6" s="1"/>
  <c r="J63" i="6"/>
  <c r="J71" i="6" s="1"/>
  <c r="H44" i="6"/>
  <c r="K63" i="6"/>
  <c r="K71" i="6" s="1"/>
  <c r="C76" i="6"/>
  <c r="M63" i="6"/>
  <c r="M71" i="6" s="1"/>
  <c r="N63" i="6"/>
  <c r="N71" i="6" s="1"/>
  <c r="E26" i="6"/>
  <c r="P39" i="6"/>
  <c r="P44" i="6" s="1"/>
  <c r="P19" i="6"/>
  <c r="O40" i="6"/>
  <c r="P30" i="6"/>
  <c r="P33" i="6" s="1"/>
  <c r="P9" i="6"/>
  <c r="H26" i="6"/>
  <c r="O41" i="6"/>
  <c r="I26" i="6"/>
  <c r="C63" i="6"/>
  <c r="J26" i="6"/>
  <c r="D63" i="6"/>
  <c r="D71" i="6" s="1"/>
  <c r="E63" i="6"/>
  <c r="E71" i="6" s="1"/>
  <c r="P34" i="6" l="1"/>
  <c r="P35" i="6"/>
  <c r="G50" i="6"/>
  <c r="G78" i="6"/>
  <c r="G79" i="6" s="1"/>
  <c r="P45" i="6"/>
  <c r="P46" i="6"/>
  <c r="L50" i="6"/>
  <c r="L78" i="6"/>
  <c r="L79" i="6" s="1"/>
  <c r="F50" i="6"/>
  <c r="F78" i="6"/>
  <c r="F79" i="6" s="1"/>
  <c r="H46" i="6"/>
  <c r="H45" i="6"/>
  <c r="K80" i="6"/>
  <c r="K10" i="6"/>
  <c r="K77" i="6"/>
  <c r="E50" i="6"/>
  <c r="I50" i="6"/>
  <c r="G46" i="6"/>
  <c r="G45" i="6"/>
  <c r="J50" i="6"/>
  <c r="K50" i="6"/>
  <c r="K78" i="6"/>
  <c r="K79" i="6" s="1"/>
  <c r="E10" i="6"/>
  <c r="E77" i="6"/>
  <c r="E78" i="6" s="1"/>
  <c r="E79" i="6" s="1"/>
  <c r="E80" i="6"/>
  <c r="D80" i="6"/>
  <c r="D10" i="6"/>
  <c r="D77" i="6"/>
  <c r="N80" i="6"/>
  <c r="N10" i="6"/>
  <c r="N77" i="6"/>
  <c r="I77" i="6"/>
  <c r="I78" i="6" s="1"/>
  <c r="I79" i="6" s="1"/>
  <c r="I80" i="6"/>
  <c r="I10" i="6"/>
  <c r="M50" i="6"/>
  <c r="J77" i="6"/>
  <c r="J78" i="6" s="1"/>
  <c r="J79" i="6" s="1"/>
  <c r="J80" i="6"/>
  <c r="J10" i="6"/>
  <c r="D50" i="6"/>
  <c r="D78" i="6"/>
  <c r="D79" i="6" s="1"/>
  <c r="N50" i="6"/>
  <c r="N78" i="6"/>
  <c r="N79" i="6" s="1"/>
  <c r="C71" i="6"/>
  <c r="P63" i="6"/>
  <c r="P71" i="6" s="1"/>
  <c r="H48" i="6"/>
  <c r="H49" i="6" s="1"/>
  <c r="O44" i="6"/>
  <c r="M80" i="6"/>
  <c r="M10" i="6"/>
  <c r="M77" i="6"/>
  <c r="M78" i="6" s="1"/>
  <c r="M79" i="6" s="1"/>
  <c r="C50" i="6"/>
  <c r="F46" i="6"/>
  <c r="F45" i="6"/>
  <c r="P48" i="6"/>
  <c r="P49" i="6" s="1"/>
  <c r="P50" i="6" l="1"/>
  <c r="P80" i="6"/>
  <c r="P10" i="6"/>
  <c r="P77" i="6"/>
  <c r="P78" i="6" s="1"/>
  <c r="P79" i="6" s="1"/>
  <c r="C80" i="6"/>
  <c r="C10" i="6"/>
  <c r="C77" i="6"/>
  <c r="C78" i="6" s="1"/>
  <c r="C79" i="6" s="1"/>
  <c r="H78" i="6"/>
  <c r="H79" i="6" s="1"/>
  <c r="H50" i="6"/>
  <c r="O45" i="6"/>
  <c r="O46" i="6"/>
  <c r="O48" i="6"/>
  <c r="O49" i="6" s="1"/>
  <c r="O50" i="6" l="1"/>
  <c r="O78" i="6"/>
  <c r="O79" i="6" s="1"/>
  <c r="P44" i="5" l="1"/>
  <c r="N43" i="5"/>
  <c r="M43" i="5"/>
  <c r="L43" i="5"/>
  <c r="K43" i="5"/>
  <c r="J43" i="5"/>
  <c r="I43" i="5"/>
  <c r="H43" i="5"/>
  <c r="G43" i="5"/>
  <c r="F43" i="5"/>
  <c r="E43" i="5"/>
  <c r="D43" i="5"/>
  <c r="C43" i="5"/>
  <c r="O43" i="5" s="1"/>
  <c r="N42" i="5"/>
  <c r="M42" i="5"/>
  <c r="L42" i="5"/>
  <c r="K42" i="5"/>
  <c r="J42" i="5"/>
  <c r="I42" i="5"/>
  <c r="H42" i="5"/>
  <c r="G42" i="5"/>
  <c r="F42" i="5"/>
  <c r="E42" i="5"/>
  <c r="D42" i="5"/>
  <c r="C42" i="5"/>
  <c r="O42" i="5" s="1"/>
  <c r="N41" i="5"/>
  <c r="N44" i="5" s="1"/>
  <c r="M41" i="5"/>
  <c r="M44" i="5" s="1"/>
  <c r="L41" i="5"/>
  <c r="L44" i="5" s="1"/>
  <c r="K41" i="5"/>
  <c r="K44" i="5" s="1"/>
  <c r="J41" i="5"/>
  <c r="J44" i="5" s="1"/>
  <c r="I41" i="5"/>
  <c r="I44" i="5" s="1"/>
  <c r="H41" i="5"/>
  <c r="H44" i="5" s="1"/>
  <c r="G41" i="5"/>
  <c r="G44" i="5" s="1"/>
  <c r="F41" i="5"/>
  <c r="F44" i="5" s="1"/>
  <c r="E41" i="5"/>
  <c r="E44" i="5" s="1"/>
  <c r="D41" i="5"/>
  <c r="D44" i="5" s="1"/>
  <c r="C41" i="5"/>
  <c r="O38" i="5"/>
  <c r="N37" i="5"/>
  <c r="M37" i="5"/>
  <c r="L37" i="5"/>
  <c r="K37" i="5"/>
  <c r="J37" i="5"/>
  <c r="I37" i="5"/>
  <c r="H37" i="5"/>
  <c r="G37" i="5"/>
  <c r="F37" i="5"/>
  <c r="E37" i="5"/>
  <c r="D37" i="5"/>
  <c r="C37" i="5"/>
  <c r="O37" i="5" s="1"/>
  <c r="N36" i="5"/>
  <c r="M36" i="5"/>
  <c r="L36" i="5"/>
  <c r="K36" i="5"/>
  <c r="J36" i="5"/>
  <c r="I36" i="5"/>
  <c r="H36" i="5"/>
  <c r="G36" i="5"/>
  <c r="F36" i="5"/>
  <c r="E36" i="5"/>
  <c r="D36" i="5"/>
  <c r="C36" i="5"/>
  <c r="O36" i="5" s="1"/>
  <c r="N35" i="5"/>
  <c r="M35" i="5"/>
  <c r="L35" i="5"/>
  <c r="K35" i="5"/>
  <c r="J35" i="5"/>
  <c r="I35" i="5"/>
  <c r="H35" i="5"/>
  <c r="G35" i="5"/>
  <c r="F35" i="5"/>
  <c r="E35" i="5"/>
  <c r="D35" i="5"/>
  <c r="C35" i="5"/>
  <c r="O35" i="5" s="1"/>
  <c r="O34" i="5"/>
  <c r="N33" i="5"/>
  <c r="M33" i="5"/>
  <c r="L33" i="5"/>
  <c r="K33" i="5"/>
  <c r="J33" i="5"/>
  <c r="I33" i="5"/>
  <c r="H33" i="5"/>
  <c r="G33" i="5"/>
  <c r="F33" i="5"/>
  <c r="E33" i="5"/>
  <c r="D33" i="5"/>
  <c r="C33" i="5"/>
  <c r="O33" i="5" s="1"/>
  <c r="N32" i="5"/>
  <c r="M32" i="5"/>
  <c r="L32" i="5"/>
  <c r="K32" i="5"/>
  <c r="J32" i="5"/>
  <c r="I32" i="5"/>
  <c r="H32" i="5"/>
  <c r="G32" i="5"/>
  <c r="F32" i="5"/>
  <c r="E32" i="5"/>
  <c r="D32" i="5"/>
  <c r="C32" i="5"/>
  <c r="O32" i="5" s="1"/>
  <c r="N30" i="5"/>
  <c r="M30" i="5"/>
  <c r="L30" i="5"/>
  <c r="K30" i="5"/>
  <c r="K31" i="5" s="1"/>
  <c r="J30" i="5"/>
  <c r="J31" i="5" s="1"/>
  <c r="I30" i="5"/>
  <c r="H30" i="5"/>
  <c r="G30" i="5"/>
  <c r="G31" i="5" s="1"/>
  <c r="F30" i="5"/>
  <c r="F31" i="5" s="1"/>
  <c r="E30" i="5"/>
  <c r="D30" i="5"/>
  <c r="C30" i="5"/>
  <c r="O30" i="5" s="1"/>
  <c r="N29" i="5"/>
  <c r="N31" i="5" s="1"/>
  <c r="M29" i="5"/>
  <c r="M31" i="5" s="1"/>
  <c r="L29" i="5"/>
  <c r="L31" i="5" s="1"/>
  <c r="I29" i="5"/>
  <c r="I31" i="5" s="1"/>
  <c r="H29" i="5"/>
  <c r="H31" i="5" s="1"/>
  <c r="E29" i="5"/>
  <c r="E31" i="5" s="1"/>
  <c r="D29" i="5"/>
  <c r="D31" i="5" s="1"/>
  <c r="C29" i="5"/>
  <c r="P28" i="5"/>
  <c r="O28" i="5"/>
  <c r="N27" i="5"/>
  <c r="M27" i="5"/>
  <c r="L27" i="5"/>
  <c r="K27" i="5"/>
  <c r="J27" i="5"/>
  <c r="I27" i="5"/>
  <c r="H27" i="5"/>
  <c r="G27" i="5"/>
  <c r="F27" i="5"/>
  <c r="E27" i="5"/>
  <c r="D27" i="5"/>
  <c r="C27" i="5"/>
  <c r="O27" i="5" s="1"/>
  <c r="N26" i="5"/>
  <c r="M26" i="5"/>
  <c r="L26" i="5"/>
  <c r="K26" i="5"/>
  <c r="J26" i="5"/>
  <c r="I26" i="5"/>
  <c r="H26" i="5"/>
  <c r="G26" i="5"/>
  <c r="F26" i="5"/>
  <c r="E26" i="5"/>
  <c r="D26" i="5"/>
  <c r="C26" i="5"/>
  <c r="O26" i="5" s="1"/>
  <c r="N25" i="5"/>
  <c r="M25" i="5"/>
  <c r="L25" i="5"/>
  <c r="K25" i="5"/>
  <c r="J25" i="5"/>
  <c r="I25" i="5"/>
  <c r="H25" i="5"/>
  <c r="G25" i="5"/>
  <c r="F25" i="5"/>
  <c r="E25" i="5"/>
  <c r="D25" i="5"/>
  <c r="C25" i="5"/>
  <c r="O25" i="5" s="1"/>
  <c r="J24" i="5"/>
  <c r="I24" i="5"/>
  <c r="O24" i="5" s="1"/>
  <c r="O23" i="5"/>
  <c r="N22" i="5"/>
  <c r="M22" i="5"/>
  <c r="L22" i="5"/>
  <c r="K22" i="5"/>
  <c r="J22" i="5"/>
  <c r="I22" i="5"/>
  <c r="H22" i="5"/>
  <c r="G22" i="5"/>
  <c r="F22" i="5"/>
  <c r="E22" i="5"/>
  <c r="D22" i="5"/>
  <c r="C22" i="5"/>
  <c r="O22" i="5" s="1"/>
  <c r="P21" i="5"/>
  <c r="P39" i="5" s="1"/>
  <c r="O21" i="5"/>
  <c r="N20" i="5"/>
  <c r="N39" i="5" s="1"/>
  <c r="M20" i="5"/>
  <c r="M39" i="5" s="1"/>
  <c r="L20" i="5"/>
  <c r="L39" i="5" s="1"/>
  <c r="K20" i="5"/>
  <c r="K39" i="5" s="1"/>
  <c r="J20" i="5"/>
  <c r="J39" i="5" s="1"/>
  <c r="I20" i="5"/>
  <c r="I39" i="5" s="1"/>
  <c r="H20" i="5"/>
  <c r="H39" i="5" s="1"/>
  <c r="G20" i="5"/>
  <c r="G39" i="5" s="1"/>
  <c r="F20" i="5"/>
  <c r="F39" i="5" s="1"/>
  <c r="E20" i="5"/>
  <c r="E39" i="5" s="1"/>
  <c r="D20" i="5"/>
  <c r="D39" i="5" s="1"/>
  <c r="C20" i="5"/>
  <c r="O19" i="5"/>
  <c r="N13" i="5"/>
  <c r="M13" i="5"/>
  <c r="L13" i="5"/>
  <c r="L14" i="5" s="1"/>
  <c r="K13" i="5"/>
  <c r="K14" i="5" s="1"/>
  <c r="J13" i="5"/>
  <c r="E13" i="5"/>
  <c r="D13" i="5"/>
  <c r="C13" i="5"/>
  <c r="O13" i="5" s="1"/>
  <c r="P12" i="5"/>
  <c r="O12" i="5"/>
  <c r="N11" i="5"/>
  <c r="N14" i="5" s="1"/>
  <c r="M11" i="5"/>
  <c r="M14" i="5" s="1"/>
  <c r="J11" i="5"/>
  <c r="J14" i="5" s="1"/>
  <c r="I11" i="5"/>
  <c r="I14" i="5" s="1"/>
  <c r="H11" i="5"/>
  <c r="H14" i="5" s="1"/>
  <c r="G11" i="5"/>
  <c r="G14" i="5" s="1"/>
  <c r="F11" i="5"/>
  <c r="F14" i="5" s="1"/>
  <c r="E11" i="5"/>
  <c r="E14" i="5" s="1"/>
  <c r="D11" i="5"/>
  <c r="D14" i="5" s="1"/>
  <c r="C11" i="5"/>
  <c r="O10" i="5"/>
  <c r="P10" i="5" s="1"/>
  <c r="P14" i="5" s="1"/>
  <c r="P7" i="5"/>
  <c r="N7" i="5"/>
  <c r="M7" i="5"/>
  <c r="L7" i="5"/>
  <c r="K7" i="5"/>
  <c r="J7" i="5"/>
  <c r="I7" i="5"/>
  <c r="H7" i="5"/>
  <c r="G7" i="5"/>
  <c r="F7" i="5"/>
  <c r="E7" i="5"/>
  <c r="D7" i="5"/>
  <c r="N6" i="5"/>
  <c r="N15" i="5" s="1"/>
  <c r="M6" i="5"/>
  <c r="M15" i="5" s="1"/>
  <c r="L6" i="5"/>
  <c r="L15" i="5" s="1"/>
  <c r="K6" i="5"/>
  <c r="K15" i="5" s="1"/>
  <c r="J6" i="5"/>
  <c r="J15" i="5" s="1"/>
  <c r="I6" i="5"/>
  <c r="I15" i="5" s="1"/>
  <c r="H6" i="5"/>
  <c r="H15" i="5" s="1"/>
  <c r="G6" i="5"/>
  <c r="G15" i="5" s="1"/>
  <c r="F6" i="5"/>
  <c r="F15" i="5" s="1"/>
  <c r="E6" i="5"/>
  <c r="E15" i="5" s="1"/>
  <c r="D6" i="5"/>
  <c r="D15" i="5" s="1"/>
  <c r="C6" i="5"/>
  <c r="P5" i="5"/>
  <c r="P6" i="5" s="1"/>
  <c r="P15" i="5" s="1"/>
  <c r="O5" i="5"/>
  <c r="O4" i="5"/>
  <c r="C47" i="3"/>
  <c r="I38" i="3"/>
  <c r="C39" i="3"/>
  <c r="C33" i="3"/>
  <c r="C41" i="3" s="1"/>
  <c r="I15" i="3"/>
  <c r="C19" i="3"/>
  <c r="C21" i="3"/>
  <c r="C11" i="3"/>
  <c r="P16" i="5" l="1"/>
  <c r="O6" i="5"/>
  <c r="O15" i="5" s="1"/>
  <c r="D16" i="5"/>
  <c r="E16" i="5"/>
  <c r="F16" i="5"/>
  <c r="G16" i="5"/>
  <c r="H16" i="5"/>
  <c r="I16" i="5"/>
  <c r="J16" i="5"/>
  <c r="K16" i="5"/>
  <c r="L16" i="5"/>
  <c r="M16" i="5"/>
  <c r="N16" i="5"/>
  <c r="C14" i="5"/>
  <c r="C15" i="5" s="1"/>
  <c r="O11" i="5"/>
  <c r="O20" i="5"/>
  <c r="D48" i="5"/>
  <c r="D45" i="5"/>
  <c r="D46" i="5" s="1"/>
  <c r="D47" i="5" s="1"/>
  <c r="E48" i="5"/>
  <c r="E45" i="5"/>
  <c r="E46" i="5" s="1"/>
  <c r="E47" i="5" s="1"/>
  <c r="F48" i="5"/>
  <c r="F45" i="5"/>
  <c r="F46" i="5" s="1"/>
  <c r="F47" i="5" s="1"/>
  <c r="G48" i="5"/>
  <c r="G45" i="5"/>
  <c r="G46" i="5" s="1"/>
  <c r="G47" i="5" s="1"/>
  <c r="H48" i="5"/>
  <c r="H45" i="5"/>
  <c r="H46" i="5" s="1"/>
  <c r="H47" i="5" s="1"/>
  <c r="I48" i="5"/>
  <c r="I45" i="5"/>
  <c r="I46" i="5" s="1"/>
  <c r="I47" i="5" s="1"/>
  <c r="J48" i="5"/>
  <c r="J45" i="5"/>
  <c r="J46" i="5" s="1"/>
  <c r="J47" i="5" s="1"/>
  <c r="K48" i="5"/>
  <c r="K45" i="5"/>
  <c r="K46" i="5" s="1"/>
  <c r="K47" i="5" s="1"/>
  <c r="L48" i="5"/>
  <c r="L45" i="5"/>
  <c r="L46" i="5" s="1"/>
  <c r="L47" i="5" s="1"/>
  <c r="M48" i="5"/>
  <c r="M45" i="5"/>
  <c r="M46" i="5" s="1"/>
  <c r="M47" i="5" s="1"/>
  <c r="N48" i="5"/>
  <c r="N45" i="5"/>
  <c r="N46" i="5" s="1"/>
  <c r="N47" i="5" s="1"/>
  <c r="P48" i="5"/>
  <c r="P45" i="5"/>
  <c r="P46" i="5" s="1"/>
  <c r="P47" i="5" s="1"/>
  <c r="C31" i="5"/>
  <c r="O29" i="5"/>
  <c r="C44" i="5"/>
  <c r="O41" i="5"/>
  <c r="O44" i="5" s="1"/>
  <c r="C23" i="3"/>
  <c r="G15" i="3"/>
  <c r="K15" i="3"/>
  <c r="C49" i="3"/>
  <c r="G38" i="3"/>
  <c r="K38" i="3"/>
  <c r="O31" i="5" l="1"/>
  <c r="C39" i="5"/>
  <c r="O39" i="5"/>
  <c r="C16" i="5"/>
  <c r="O16" i="5"/>
  <c r="O48" i="5" l="1"/>
  <c r="O45" i="5"/>
  <c r="O46" i="5" s="1"/>
  <c r="O7" i="5"/>
  <c r="C48" i="5"/>
  <c r="C45" i="5"/>
  <c r="C46" i="5" s="1"/>
  <c r="C47" i="5" s="1"/>
  <c r="C7" i="5"/>
</calcChain>
</file>

<file path=xl/sharedStrings.xml><?xml version="1.0" encoding="utf-8"?>
<sst xmlns="http://schemas.openxmlformats.org/spreadsheetml/2006/main" count="205" uniqueCount="127">
  <si>
    <t>Assets</t>
  </si>
  <si>
    <t>Current Assets</t>
  </si>
  <si>
    <t>Cash &amp; Bank Accounts (CIBC Chequing)</t>
  </si>
  <si>
    <t>Cash &amp; Bank Accounts (CIBC Savings)</t>
  </si>
  <si>
    <t xml:space="preserve">Accounts Receivable </t>
  </si>
  <si>
    <t xml:space="preserve">Inventory (Hot Tubs, Accessories, Parts) </t>
  </si>
  <si>
    <t xml:space="preserve">Prepaid Expenses </t>
  </si>
  <si>
    <r>
      <t>Total Current Assets</t>
    </r>
    <r>
      <rPr>
        <sz val="11"/>
        <color theme="1"/>
        <rFont val="Arial"/>
        <family val="2"/>
      </rPr>
      <t xml:space="preserve"> </t>
    </r>
  </si>
  <si>
    <t>Fixed Assets</t>
  </si>
  <si>
    <t xml:space="preserve">Property &amp; Equipment </t>
  </si>
  <si>
    <t>Current Ratio.</t>
  </si>
  <si>
    <t>Furniture and Fixtures</t>
  </si>
  <si>
    <t>/</t>
  </si>
  <si>
    <t xml:space="preserve"> =</t>
  </si>
  <si>
    <t>Trucks &amp; Trailers</t>
  </si>
  <si>
    <t>Computer Equipment</t>
  </si>
  <si>
    <t>Tools</t>
  </si>
  <si>
    <t>Total Property &amp; Equipment</t>
  </si>
  <si>
    <t xml:space="preserve">Less: Accumulated Depreciation </t>
  </si>
  <si>
    <r>
      <t>Net Fixed Assets</t>
    </r>
    <r>
      <rPr>
        <sz val="11"/>
        <color theme="1"/>
        <rFont val="Arial"/>
        <family val="2"/>
      </rPr>
      <t xml:space="preserve"> </t>
    </r>
  </si>
  <si>
    <r>
      <t>Total Assets</t>
    </r>
    <r>
      <rPr>
        <sz val="12"/>
        <color theme="1"/>
        <rFont val="Arial"/>
        <family val="2"/>
      </rPr>
      <t xml:space="preserve"> </t>
    </r>
  </si>
  <si>
    <t>Liabilities</t>
  </si>
  <si>
    <t>Current Liabilities</t>
  </si>
  <si>
    <t xml:space="preserve">Accounts Payable </t>
  </si>
  <si>
    <t xml:space="preserve">Credit Card Liabilities </t>
  </si>
  <si>
    <t>Short-Term Loans (CIBC Loan)</t>
  </si>
  <si>
    <t xml:space="preserve">Taxes Payable </t>
  </si>
  <si>
    <t>Other Current Liabilities</t>
  </si>
  <si>
    <r>
      <t>Total Current Liabilities</t>
    </r>
    <r>
      <rPr>
        <sz val="11"/>
        <color theme="1"/>
        <rFont val="Arial"/>
        <family val="2"/>
      </rPr>
      <t xml:space="preserve"> </t>
    </r>
  </si>
  <si>
    <t>Long-Term Liabilities</t>
  </si>
  <si>
    <t xml:space="preserve">Vehicle Loans </t>
  </si>
  <si>
    <t xml:space="preserve">Loans Owed to Shareholder </t>
  </si>
  <si>
    <t>Debt to Equity Ratio</t>
  </si>
  <si>
    <t>Other Long-Term Liabilities (BDC Loan)</t>
  </si>
  <si>
    <r>
      <t>Total Long-Term Liabilities</t>
    </r>
    <r>
      <rPr>
        <sz val="11"/>
        <color theme="1"/>
        <rFont val="Arial"/>
        <family val="2"/>
      </rPr>
      <t xml:space="preserve"> </t>
    </r>
  </si>
  <si>
    <r>
      <t>Total Liabilities</t>
    </r>
    <r>
      <rPr>
        <sz val="12"/>
        <color theme="1"/>
        <rFont val="Arial"/>
        <family val="2"/>
      </rPr>
      <t xml:space="preserve"> </t>
    </r>
  </si>
  <si>
    <t>Equity</t>
  </si>
  <si>
    <t xml:space="preserve">Owner's Capital </t>
  </si>
  <si>
    <t xml:space="preserve">Retained Earnings </t>
  </si>
  <si>
    <t xml:space="preserve">YTD Net Profit </t>
  </si>
  <si>
    <r>
      <t>Total Equity</t>
    </r>
    <r>
      <rPr>
        <sz val="11"/>
        <color theme="1"/>
        <rFont val="Arial"/>
        <family val="2"/>
      </rPr>
      <t xml:space="preserve"> </t>
    </r>
  </si>
  <si>
    <t xml:space="preserve">Total Liabilities &amp; Equity </t>
  </si>
  <si>
    <r>
      <t>Disclaimer:</t>
    </r>
    <r>
      <rPr>
        <sz val="12"/>
        <color theme="1"/>
        <rFont val="Aptos Narrow"/>
        <family val="2"/>
        <scheme val="minor"/>
      </rPr>
      <t xml:space="preserve"> The data presented in this spreadsheet is for demonstration purposes only. The business and all related information are entirely fictional.</t>
    </r>
  </si>
  <si>
    <t xml:space="preserve">Jan. </t>
  </si>
  <si>
    <t xml:space="preserve">Feb.  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</si>
  <si>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</si>
  <si>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</si>
  <si>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</si>
  <si>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</si>
  <si>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</si>
  <si>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</si>
  <si>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</si>
  <si>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</si>
  <si>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</si>
  <si>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</si>
  <si>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(YTD) Current Year</t>
  </si>
  <si>
    <t>Sales Income (Revenue Centres)</t>
  </si>
  <si>
    <t>Monthly %</t>
  </si>
  <si>
    <t>Sales</t>
  </si>
  <si>
    <t>Total Sales</t>
  </si>
  <si>
    <t xml:space="preserve">BREAK EVEN </t>
  </si>
  <si>
    <t>Cost of Goods (Direct Expenses)</t>
  </si>
  <si>
    <t>Wholesale/Product Costs</t>
  </si>
  <si>
    <t>Freight, Shipping &amp; Truck Mileage</t>
  </si>
  <si>
    <t>Starter Kits &amp; Parts/Materials</t>
  </si>
  <si>
    <t>Subcontractors (Electricians)</t>
  </si>
  <si>
    <t>Total Cost of Goods</t>
  </si>
  <si>
    <t>Gross Profit</t>
  </si>
  <si>
    <t>Gross Margin</t>
  </si>
  <si>
    <t>Expenses (Fixed Costs)</t>
  </si>
  <si>
    <t>Rent</t>
  </si>
  <si>
    <t>Storage &amp; Warehousing</t>
  </si>
  <si>
    <t>Marketing</t>
  </si>
  <si>
    <t>Insurance</t>
  </si>
  <si>
    <t>Utilities</t>
  </si>
  <si>
    <t>Accounting</t>
  </si>
  <si>
    <t>Credit Card Processing Fees</t>
  </si>
  <si>
    <t>Phones</t>
  </si>
  <si>
    <t>Internet</t>
  </si>
  <si>
    <t>Wages (Retail, Technicians, Sales)</t>
  </si>
  <si>
    <t xml:space="preserve">Sales Commissions: </t>
  </si>
  <si>
    <t xml:space="preserve">Owner Salary </t>
  </si>
  <si>
    <t>Payroll &amp; Benefits</t>
  </si>
  <si>
    <t>Vehicles - Payments</t>
  </si>
  <si>
    <t>Vehicles - Insurance</t>
  </si>
  <si>
    <t>Vehicles - Repairs and Maintenance</t>
  </si>
  <si>
    <t>Fuel</t>
  </si>
  <si>
    <t>Administration/Office</t>
  </si>
  <si>
    <t xml:space="preserve">Medical </t>
  </si>
  <si>
    <t>Training (First Aid, Water Care)</t>
  </si>
  <si>
    <t>Total Expenses (Fixed Costs)</t>
  </si>
  <si>
    <t>Other Expenses</t>
  </si>
  <si>
    <t>Depreciation</t>
  </si>
  <si>
    <t>Taxes</t>
  </si>
  <si>
    <t>Interest Expense</t>
  </si>
  <si>
    <t>Total Other Expenses</t>
  </si>
  <si>
    <t xml:space="preserve">TOTAL EXPENSES </t>
  </si>
  <si>
    <t xml:space="preserve">NET PROFIT </t>
  </si>
  <si>
    <t>PROFIT MARGIN</t>
  </si>
  <si>
    <r>
      <rPr>
        <b/>
        <sz val="12"/>
        <color rgb="FF000000"/>
        <rFont val="Aptos Narrow"/>
        <scheme val="minor"/>
      </rPr>
      <t>Disclaimer:</t>
    </r>
    <r>
      <rPr>
        <sz val="12"/>
        <color rgb="FF000000"/>
        <rFont val="Aptos Narrow"/>
        <scheme val="minor"/>
      </rPr>
      <t xml:space="preserve"> The data presented in this spreadsheet is for demonstration purposes only. The business and all related information are entirely fictional.</t>
    </r>
  </si>
  <si>
    <t>Retail Hot Tub</t>
  </si>
  <si>
    <t>Part &amp; Accessories</t>
  </si>
  <si>
    <t>Repairs</t>
  </si>
  <si>
    <t>Water Care/Maintenance Club</t>
  </si>
  <si>
    <t>COGS Retail Hot Tub Sales</t>
  </si>
  <si>
    <t>Wholesale Cost of Hot Tub</t>
  </si>
  <si>
    <t>Hot Tub Starter Kits</t>
  </si>
  <si>
    <t>Freight and Delivery</t>
  </si>
  <si>
    <t>Retail Staff Wages</t>
  </si>
  <si>
    <t>Sales Commissions</t>
  </si>
  <si>
    <t>Total COG Hot Tub Sales</t>
  </si>
  <si>
    <t>COGS  Accessories</t>
  </si>
  <si>
    <t>Parts/Materials</t>
  </si>
  <si>
    <t>Total COG Accessories</t>
  </si>
  <si>
    <t>COGS Service/Repairs</t>
  </si>
  <si>
    <t xml:space="preserve">Subcontractors (Electricians) </t>
  </si>
  <si>
    <t>Parts and Materials</t>
  </si>
  <si>
    <t>Wages - Service Technician</t>
  </si>
  <si>
    <t>Total COG Service Repairs</t>
  </si>
  <si>
    <t>COGS Water Care/Maintenance Contracts</t>
  </si>
  <si>
    <t xml:space="preserve">Fuel </t>
  </si>
  <si>
    <t>Total COG Water Care Contracts</t>
  </si>
  <si>
    <t>TOTAL COGS</t>
  </si>
  <si>
    <t>GROSS PROFIT</t>
  </si>
  <si>
    <t>GROSS MARGIN</t>
  </si>
  <si>
    <t xml:space="preserve">$-   </t>
  </si>
  <si>
    <t xml:space="preserve"> $-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</si>
</sst>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"/>
  </numFmts>
  <fonts count="2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color theme="1"/>
      <name val="Arial"/>
      <family val="2"/>
    </font>
    <font>
      <b/>
      <sz val="13.5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36"/>
      <color theme="1"/>
      <name val="Arial"/>
      <family val="2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scheme val="minor"/>
    </font>
    <font>
      <sz val="12"/>
      <color rgb="FF000000"/>
      <name val="Aptos Narrow"/>
      <scheme val="minor"/>
    </font>
    <font>
      <b/>
      <sz val="12"/>
      <color rgb="FF000000"/>
      <name val="Aptos Narrow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E6F5"/>
        <bgColor rgb="FF000000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2"/>
      </left>
      <right style="thin">
        <color theme="1"/>
      </right>
      <top style="thin">
        <color theme="2"/>
      </top>
      <bottom style="thin">
        <color theme="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rgb="FF00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1" fillId="2" borderId="6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10" xfId="0" applyBorder="1"/>
    <xf numFmtId="10" fontId="0" fillId="5" borderId="0" xfId="0" applyNumberFormat="1" applyFill="1"/>
    <xf numFmtId="0" fontId="0" fillId="0" borderId="14" xfId="0" applyBorder="1"/>
    <xf numFmtId="0" fontId="0" fillId="2" borderId="14" xfId="0" applyFill="1" applyBorder="1"/>
    <xf numFmtId="44" fontId="1" fillId="7" borderId="11" xfId="0" applyNumberFormat="1" applyFont="1" applyFill="1" applyBorder="1" applyAlignment="1">
      <alignment horizontal="center"/>
    </xf>
    <xf numFmtId="44" fontId="1" fillId="7" borderId="15" xfId="0" applyNumberFormat="1" applyFont="1" applyFill="1" applyBorder="1" applyAlignment="1">
      <alignment horizontal="center"/>
    </xf>
    <xf numFmtId="0" fontId="0" fillId="2" borderId="1" xfId="0" applyFill="1" applyBorder="1"/>
    <xf numFmtId="44" fontId="0" fillId="2" borderId="17" xfId="0" applyNumberFormat="1" applyFill="1" applyBorder="1" applyAlignment="1">
      <alignment horizontal="center"/>
    </xf>
    <xf numFmtId="44" fontId="1" fillId="2" borderId="17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23" xfId="0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/>
    <xf numFmtId="10" fontId="0" fillId="2" borderId="0" xfId="0" applyNumberForma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44" fontId="0" fillId="0" borderId="0" xfId="0" applyNumberForma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8" fillId="0" borderId="0" xfId="0" applyFont="1"/>
    <xf numFmtId="0" fontId="3" fillId="10" borderId="0" xfId="0" applyFont="1" applyFill="1"/>
    <xf numFmtId="0" fontId="0" fillId="10" borderId="0" xfId="0" applyFill="1"/>
    <xf numFmtId="44" fontId="1" fillId="11" borderId="0" xfId="0" applyNumberFormat="1" applyFont="1" applyFill="1"/>
    <xf numFmtId="0" fontId="3" fillId="0" borderId="0" xfId="0" applyFont="1"/>
    <xf numFmtId="0" fontId="9" fillId="11" borderId="0" xfId="0" applyFont="1" applyFill="1"/>
    <xf numFmtId="0" fontId="1" fillId="11" borderId="0" xfId="0" applyFont="1" applyFill="1"/>
    <xf numFmtId="2" fontId="1" fillId="11" borderId="0" xfId="0" applyNumberFormat="1" applyFont="1" applyFill="1"/>
    <xf numFmtId="0" fontId="1" fillId="0" borderId="0" xfId="0" applyFont="1"/>
    <xf numFmtId="0" fontId="10" fillId="0" borderId="0" xfId="0" applyFont="1"/>
    <xf numFmtId="0" fontId="11" fillId="10" borderId="0" xfId="0" applyFont="1" applyFill="1"/>
    <xf numFmtId="0" fontId="9" fillId="12" borderId="0" xfId="0" applyFont="1" applyFill="1"/>
    <xf numFmtId="0" fontId="0" fillId="12" borderId="0" xfId="0" applyFill="1"/>
    <xf numFmtId="44" fontId="1" fillId="12" borderId="0" xfId="0" applyNumberFormat="1" applyFont="1" applyFill="1"/>
    <xf numFmtId="0" fontId="1" fillId="12" borderId="0" xfId="0" applyFont="1" applyFill="1"/>
    <xf numFmtId="2" fontId="1" fillId="12" borderId="0" xfId="0" applyNumberFormat="1" applyFont="1" applyFill="1" applyAlignment="1">
      <alignment wrapText="1"/>
    </xf>
    <xf numFmtId="0" fontId="5" fillId="10" borderId="0" xfId="0" applyFont="1" applyFill="1"/>
    <xf numFmtId="0" fontId="1" fillId="2" borderId="0" xfId="0" applyFont="1" applyFill="1"/>
    <xf numFmtId="0" fontId="14" fillId="0" borderId="2" xfId="0" applyFont="1" applyBorder="1" applyAlignment="1">
      <alignment wrapText="1"/>
    </xf>
    <xf numFmtId="0" fontId="0" fillId="2" borderId="3" xfId="0" applyFill="1" applyBorder="1"/>
    <xf numFmtId="0" fontId="1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10" borderId="26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15" fillId="5" borderId="26" xfId="0" applyFont="1" applyFill="1" applyBorder="1"/>
    <xf numFmtId="10" fontId="0" fillId="6" borderId="21" xfId="0" applyNumberFormat="1" applyFill="1" applyBorder="1" applyAlignment="1">
      <alignment horizontal="center"/>
    </xf>
    <xf numFmtId="10" fontId="0" fillId="6" borderId="28" xfId="0" applyNumberFormat="1" applyFill="1" applyBorder="1" applyAlignment="1">
      <alignment horizontal="center"/>
    </xf>
    <xf numFmtId="10" fontId="0" fillId="6" borderId="28" xfId="0" applyNumberFormat="1" applyFill="1" applyBorder="1"/>
    <xf numFmtId="0" fontId="1" fillId="0" borderId="26" xfId="0" applyFont="1" applyBorder="1"/>
    <xf numFmtId="164" fontId="0" fillId="2" borderId="29" xfId="0" applyNumberFormat="1" applyFill="1" applyBorder="1" applyAlignment="1">
      <alignment horizontal="center"/>
    </xf>
    <xf numFmtId="164" fontId="0" fillId="2" borderId="30" xfId="0" applyNumberFormat="1" applyFill="1" applyBorder="1" applyAlignment="1">
      <alignment horizontal="center"/>
    </xf>
    <xf numFmtId="164" fontId="0" fillId="5" borderId="0" xfId="0" applyNumberFormat="1" applyFill="1"/>
    <xf numFmtId="164" fontId="1" fillId="4" borderId="26" xfId="0" applyNumberFormat="1" applyFont="1" applyFill="1" applyBorder="1" applyAlignment="1">
      <alignment horizontal="center"/>
    </xf>
    <xf numFmtId="0" fontId="1" fillId="5" borderId="26" xfId="0" applyFont="1" applyFill="1" applyBorder="1"/>
    <xf numFmtId="164" fontId="1" fillId="5" borderId="18" xfId="0" applyNumberFormat="1" applyFont="1" applyFill="1" applyBorder="1" applyAlignment="1">
      <alignment horizontal="center"/>
    </xf>
    <xf numFmtId="164" fontId="1" fillId="5" borderId="11" xfId="0" applyNumberFormat="1" applyFont="1" applyFill="1" applyBorder="1" applyAlignment="1">
      <alignment horizontal="center"/>
    </xf>
    <xf numFmtId="164" fontId="1" fillId="5" borderId="0" xfId="0" applyNumberFormat="1" applyFont="1" applyFill="1"/>
    <xf numFmtId="164" fontId="1" fillId="5" borderId="26" xfId="0" applyNumberFormat="1" applyFont="1" applyFill="1" applyBorder="1" applyAlignment="1">
      <alignment horizontal="center"/>
    </xf>
    <xf numFmtId="0" fontId="1" fillId="7" borderId="26" xfId="0" applyFont="1" applyFill="1" applyBorder="1"/>
    <xf numFmtId="44" fontId="1" fillId="7" borderId="18" xfId="0" applyNumberFormat="1" applyFont="1" applyFill="1" applyBorder="1" applyAlignment="1">
      <alignment horizontal="center"/>
    </xf>
    <xf numFmtId="44" fontId="1" fillId="7" borderId="26" xfId="0" applyNumberFormat="1" applyFont="1" applyFill="1" applyBorder="1" applyAlignment="1">
      <alignment horizontal="center"/>
    </xf>
    <xf numFmtId="0" fontId="1" fillId="2" borderId="16" xfId="0" applyFont="1" applyFill="1" applyBorder="1"/>
    <xf numFmtId="0" fontId="1" fillId="5" borderId="4" xfId="0" applyFont="1" applyFill="1" applyBorder="1"/>
    <xf numFmtId="0" fontId="0" fillId="0" borderId="18" xfId="0" applyBorder="1"/>
    <xf numFmtId="164" fontId="0" fillId="3" borderId="15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1" fillId="4" borderId="31" xfId="0" applyNumberFormat="1" applyFont="1" applyFill="1" applyBorder="1" applyAlignment="1">
      <alignment horizontal="center"/>
    </xf>
    <xf numFmtId="0" fontId="1" fillId="5" borderId="18" xfId="0" applyFont="1" applyFill="1" applyBorder="1"/>
    <xf numFmtId="164" fontId="0" fillId="5" borderId="11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0" fontId="1" fillId="13" borderId="26" xfId="0" applyFont="1" applyFill="1" applyBorder="1"/>
    <xf numFmtId="165" fontId="1" fillId="13" borderId="26" xfId="0" applyNumberFormat="1" applyFont="1" applyFill="1" applyBorder="1" applyAlignment="1">
      <alignment horizontal="center"/>
    </xf>
    <xf numFmtId="0" fontId="1" fillId="8" borderId="32" xfId="0" applyFont="1" applyFill="1" applyBorder="1"/>
    <xf numFmtId="10" fontId="1" fillId="8" borderId="11" xfId="0" applyNumberFormat="1" applyFont="1" applyFill="1" applyBorder="1" applyAlignment="1">
      <alignment horizontal="center"/>
    </xf>
    <xf numFmtId="0" fontId="0" fillId="0" borderId="26" xfId="0" applyBorder="1"/>
    <xf numFmtId="164" fontId="0" fillId="2" borderId="18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0" borderId="1" xfId="0" applyNumberFormat="1" applyBorder="1"/>
    <xf numFmtId="0" fontId="0" fillId="0" borderId="19" xfId="0" applyBorder="1"/>
    <xf numFmtId="0" fontId="0" fillId="0" borderId="11" xfId="0" applyBorder="1"/>
    <xf numFmtId="0" fontId="0" fillId="9" borderId="0" xfId="0" applyFill="1"/>
    <xf numFmtId="0" fontId="0" fillId="2" borderId="11" xfId="0" applyFill="1" applyBorder="1"/>
    <xf numFmtId="164" fontId="0" fillId="2" borderId="28" xfId="0" applyNumberFormat="1" applyFill="1" applyBorder="1" applyAlignment="1">
      <alignment horizontal="center"/>
    </xf>
    <xf numFmtId="0" fontId="0" fillId="0" borderId="15" xfId="0" applyBorder="1"/>
    <xf numFmtId="164" fontId="0" fillId="2" borderId="26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0" fontId="1" fillId="5" borderId="20" xfId="0" applyFont="1" applyFill="1" applyBorder="1"/>
    <xf numFmtId="164" fontId="0" fillId="5" borderId="26" xfId="0" applyNumberFormat="1" applyFill="1" applyBorder="1" applyAlignment="1">
      <alignment horizontal="center"/>
    </xf>
    <xf numFmtId="164" fontId="0" fillId="14" borderId="20" xfId="0" applyNumberFormat="1" applyFill="1" applyBorder="1" applyAlignment="1">
      <alignment horizontal="center"/>
    </xf>
    <xf numFmtId="0" fontId="1" fillId="5" borderId="22" xfId="0" applyFont="1" applyFill="1" applyBorder="1"/>
    <xf numFmtId="164" fontId="0" fillId="2" borderId="0" xfId="0" applyNumberForma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2" borderId="33" xfId="0" applyFill="1" applyBorder="1"/>
    <xf numFmtId="164" fontId="0" fillId="3" borderId="26" xfId="0" applyNumberFormat="1" applyFill="1" applyBorder="1" applyAlignment="1">
      <alignment horizontal="center"/>
    </xf>
    <xf numFmtId="0" fontId="1" fillId="5" borderId="33" xfId="0" applyFont="1" applyFill="1" applyBorder="1"/>
    <xf numFmtId="164" fontId="0" fillId="5" borderId="26" xfId="0" applyNumberFormat="1" applyFill="1" applyBorder="1"/>
    <xf numFmtId="164" fontId="1" fillId="5" borderId="26" xfId="0" applyNumberFormat="1" applyFont="1" applyFill="1" applyBorder="1"/>
    <xf numFmtId="0" fontId="15" fillId="13" borderId="13" xfId="0" applyFont="1" applyFill="1" applyBorder="1"/>
    <xf numFmtId="0" fontId="1" fillId="8" borderId="11" xfId="0" applyFont="1" applyFill="1" applyBorder="1"/>
    <xf numFmtId="10" fontId="1" fillId="8" borderId="13" xfId="0" applyNumberFormat="1" applyFont="1" applyFill="1" applyBorder="1" applyAlignment="1">
      <alignment horizontal="center"/>
    </xf>
    <xf numFmtId="0" fontId="1" fillId="7" borderId="7" xfId="0" applyFont="1" applyFill="1" applyBorder="1"/>
    <xf numFmtId="0" fontId="1" fillId="2" borderId="8" xfId="0" applyFont="1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164" fontId="0" fillId="0" borderId="0" xfId="0" applyNumberFormat="1"/>
    <xf numFmtId="164" fontId="1" fillId="11" borderId="0" xfId="0" applyNumberFormat="1" applyFont="1" applyFill="1"/>
    <xf numFmtId="164" fontId="1" fillId="0" borderId="0" xfId="0" applyNumberFormat="1" applyFont="1"/>
    <xf numFmtId="164" fontId="1" fillId="10" borderId="0" xfId="0" applyNumberFormat="1" applyFont="1" applyFill="1"/>
    <xf numFmtId="164" fontId="12" fillId="10" borderId="0" xfId="0" applyNumberFormat="1" applyFont="1" applyFill="1"/>
    <xf numFmtId="164" fontId="0" fillId="12" borderId="0" xfId="0" applyNumberFormat="1" applyFill="1"/>
    <xf numFmtId="164" fontId="1" fillId="12" borderId="0" xfId="0" applyNumberFormat="1" applyFont="1" applyFill="1"/>
    <xf numFmtId="0" fontId="12" fillId="0" borderId="0" xfId="0" applyFont="1" applyAlignment="1">
      <alignment horizontal="center" wrapText="1"/>
    </xf>
    <xf numFmtId="10" fontId="1" fillId="8" borderId="0" xfId="0" applyNumberFormat="1" applyFont="1" applyFill="1" applyAlignment="1">
      <alignment horizontal="center"/>
    </xf>
    <xf numFmtId="0" fontId="1" fillId="0" borderId="22" xfId="0" applyFont="1" applyBorder="1"/>
    <xf numFmtId="0" fontId="0" fillId="0" borderId="22" xfId="0" applyBorder="1"/>
    <xf numFmtId="0" fontId="1" fillId="16" borderId="22" xfId="0" applyFont="1" applyFill="1" applyBorder="1"/>
    <xf numFmtId="10" fontId="1" fillId="8" borderId="18" xfId="0" applyNumberFormat="1" applyFont="1" applyFill="1" applyBorder="1" applyAlignment="1">
      <alignment horizontal="center"/>
    </xf>
    <xf numFmtId="0" fontId="1" fillId="13" borderId="22" xfId="0" applyFont="1" applyFill="1" applyBorder="1"/>
    <xf numFmtId="0" fontId="1" fillId="8" borderId="22" xfId="0" applyFont="1" applyFill="1" applyBorder="1"/>
    <xf numFmtId="0" fontId="1" fillId="5" borderId="19" xfId="0" applyFont="1" applyFill="1" applyBorder="1"/>
    <xf numFmtId="0" fontId="1" fillId="18" borderId="22" xfId="0" applyFont="1" applyFill="1" applyBorder="1"/>
    <xf numFmtId="10" fontId="1" fillId="8" borderId="22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44" fontId="1" fillId="7" borderId="0" xfId="0" applyNumberFormat="1" applyFont="1" applyFill="1" applyAlignment="1">
      <alignment horizontal="center"/>
    </xf>
    <xf numFmtId="165" fontId="1" fillId="13" borderId="0" xfId="0" applyNumberFormat="1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42" fontId="18" fillId="17" borderId="0" xfId="0" applyNumberFormat="1" applyFont="1" applyFill="1" applyAlignment="1">
      <alignment horizontal="center"/>
    </xf>
    <xf numFmtId="42" fontId="16" fillId="15" borderId="26" xfId="0" applyNumberFormat="1" applyFont="1" applyFill="1" applyBorder="1"/>
    <xf numFmtId="42" fontId="16" fillId="15" borderId="26" xfId="0" applyNumberFormat="1" applyFont="1" applyFill="1" applyBorder="1" applyAlignment="1">
      <alignment horizontal="center"/>
    </xf>
    <xf numFmtId="164" fontId="1" fillId="18" borderId="0" xfId="0" applyNumberFormat="1" applyFont="1" applyFill="1"/>
    <xf numFmtId="0" fontId="17" fillId="0" borderId="22" xfId="0" applyFont="1" applyBorder="1"/>
    <xf numFmtId="10" fontId="0" fillId="0" borderId="2" xfId="0" applyNumberFormat="1" applyBorder="1"/>
    <xf numFmtId="10" fontId="2" fillId="0" borderId="4" xfId="0" applyNumberFormat="1" applyFont="1" applyBorder="1" applyAlignment="1">
      <alignment vertical="center"/>
    </xf>
    <xf numFmtId="10" fontId="0" fillId="0" borderId="7" xfId="0" applyNumberFormat="1" applyBorder="1"/>
    <xf numFmtId="10" fontId="0" fillId="0" borderId="1" xfId="0" applyNumberFormat="1" applyBorder="1"/>
    <xf numFmtId="10" fontId="0" fillId="2" borderId="1" xfId="0" applyNumberFormat="1" applyFill="1" applyBorder="1"/>
    <xf numFmtId="10" fontId="0" fillId="2" borderId="2" xfId="0" applyNumberFormat="1" applyFill="1" applyBorder="1"/>
    <xf numFmtId="10" fontId="0" fillId="0" borderId="0" xfId="0" applyNumberFormat="1"/>
    <xf numFmtId="165" fontId="1" fillId="13" borderId="25" xfId="0" applyNumberFormat="1" applyFont="1" applyFill="1" applyBorder="1" applyAlignment="1">
      <alignment horizontal="center"/>
    </xf>
    <xf numFmtId="0" fontId="1" fillId="8" borderId="35" xfId="0" applyFont="1" applyFill="1" applyBorder="1"/>
    <xf numFmtId="2" fontId="0" fillId="0" borderId="2" xfId="0" applyNumberFormat="1" applyBorder="1"/>
    <xf numFmtId="42" fontId="16" fillId="15" borderId="22" xfId="0" applyNumberFormat="1" applyFont="1" applyFill="1" applyBorder="1" applyAlignment="1">
      <alignment horizontal="center"/>
    </xf>
    <xf numFmtId="164" fontId="1" fillId="5" borderId="36" xfId="0" applyNumberFormat="1" applyFon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2" borderId="11" xfId="0" applyNumberFormat="1" applyFill="1" applyBorder="1"/>
    <xf numFmtId="164" fontId="0" fillId="2" borderId="12" xfId="0" applyNumberFormat="1" applyFill="1" applyBorder="1"/>
    <xf numFmtId="164" fontId="0" fillId="2" borderId="28" xfId="0" applyNumberFormat="1" applyFill="1" applyBorder="1"/>
    <xf numFmtId="164" fontId="0" fillId="2" borderId="26" xfId="0" applyNumberFormat="1" applyFill="1" applyBorder="1"/>
    <xf numFmtId="164" fontId="1" fillId="5" borderId="15" xfId="0" applyNumberFormat="1" applyFont="1" applyFill="1" applyBorder="1" applyAlignment="1">
      <alignment horizontal="center"/>
    </xf>
    <xf numFmtId="164" fontId="1" fillId="16" borderId="22" xfId="0" applyNumberFormat="1" applyFont="1" applyFill="1" applyBorder="1" applyAlignment="1">
      <alignment horizontal="center"/>
    </xf>
    <xf numFmtId="164" fontId="1" fillId="18" borderId="22" xfId="0" applyNumberFormat="1" applyFont="1" applyFill="1" applyBorder="1" applyAlignment="1">
      <alignment horizontal="center"/>
    </xf>
    <xf numFmtId="42" fontId="16" fillId="15" borderId="25" xfId="0" applyNumberFormat="1" applyFont="1" applyFill="1" applyBorder="1" applyAlignment="1">
      <alignment horizontal="center"/>
    </xf>
    <xf numFmtId="0" fontId="1" fillId="5" borderId="37" xfId="0" applyFont="1" applyFill="1" applyBorder="1"/>
    <xf numFmtId="0" fontId="17" fillId="0" borderId="38" xfId="0" applyFont="1" applyBorder="1"/>
    <xf numFmtId="0" fontId="19" fillId="0" borderId="0" xfId="0" applyFont="1"/>
    <xf numFmtId="0" fontId="12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2" fillId="0" borderId="27" xfId="0" applyFont="1" applyBorder="1" applyAlignment="1">
      <alignment horizontal="center" wrapText="1"/>
    </xf>
    <xf numFmtId="0" fontId="12" fillId="0" borderId="34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495300</xdr:colOff>
      <xdr:row>0</xdr:row>
      <xdr:rowOff>676275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7A2948A-556F-40F5-B9B0-6AEA3D7E28B2}"/>
            </a:ext>
          </a:extLst>
        </xdr:cNvPr>
        <xdr:cNvSpPr/>
      </xdr:nvSpPr>
      <xdr:spPr>
        <a:xfrm>
          <a:off x="0" y="0"/>
          <a:ext cx="10582275" cy="676275"/>
        </a:xfrm>
        <a:prstGeom prst="rect">
          <a:avLst/>
        </a:prstGeom>
        <a:solidFill>
          <a:srgbClr val="00629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0</xdr:col>
      <xdr:colOff>2352675</xdr:colOff>
      <xdr:row>0</xdr:row>
      <xdr:rowOff>228600</xdr:rowOff>
    </xdr:from>
    <xdr:to>
      <xdr:col>11</xdr:col>
      <xdr:colOff>19050</xdr:colOff>
      <xdr:row>0</xdr:row>
      <xdr:rowOff>676275</xdr:rowOff>
    </xdr:to>
    <xdr:sp macro="" textlink="">
      <xdr:nvSpPr>
        <xdr:cNvPr id="26" name="TextBox 2">
          <a:extLst>
            <a:ext uri="{FF2B5EF4-FFF2-40B4-BE49-F238E27FC236}">
              <a16:creationId xmlns:a16="http://schemas.microsoft.com/office/drawing/2014/main" id="{BD6977E7-AC8C-4286-AEE5-074A19B7B7C3}"/>
            </a:ext>
            <a:ext uri="{147F2762-F138-4A5C-976F-8EAC2B608ADB}">
              <a16:predDERef xmlns:a16="http://schemas.microsoft.com/office/drawing/2014/main" pred="{07A2948A-556F-40F5-B9B0-6AEA3D7E28B2}"/>
            </a:ext>
          </a:extLst>
        </xdr:cNvPr>
        <xdr:cNvSpPr txBox="1"/>
      </xdr:nvSpPr>
      <xdr:spPr>
        <a:xfrm>
          <a:off x="2352675" y="228600"/>
          <a:ext cx="6324600" cy="447675"/>
        </a:xfrm>
        <a:prstGeom prst="rect">
          <a:avLst/>
        </a:prstGeom>
        <a:noFill/>
        <a:ln w="9525" cmpd="sng">
          <a:noFill/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2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Rub a Dub Hot Tub Company Balance Sheet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19050</xdr:rowOff>
    </xdr:from>
    <xdr:to>
      <xdr:col>0</xdr:col>
      <xdr:colOff>838200</xdr:colOff>
      <xdr:row>0</xdr:row>
      <xdr:rowOff>647700</xdr:rowOff>
    </xdr:to>
    <xdr:pic>
      <xdr:nvPicPr>
        <xdr:cNvPr id="27" name="Picture 3">
          <a:extLst>
            <a:ext uri="{FF2B5EF4-FFF2-40B4-BE49-F238E27FC236}">
              <a16:creationId xmlns:a16="http://schemas.microsoft.com/office/drawing/2014/main" id="{9345D995-58EA-4F4D-A33F-08397CB86F8D}"/>
            </a:ext>
            <a:ext uri="{147F2762-F138-4A5C-976F-8EAC2B608ADB}">
              <a16:predDERef xmlns:a16="http://schemas.microsoft.com/office/drawing/2014/main" pred="{BD6977E7-AC8C-4286-AEE5-074A19B7B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50"/>
          <a:ext cx="828675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11</xdr:row>
      <xdr:rowOff>42863</xdr:rowOff>
    </xdr:from>
    <xdr:to>
      <xdr:col>17</xdr:col>
      <xdr:colOff>209550</xdr:colOff>
      <xdr:row>14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DA6D1EE-7145-4D3F-A25C-EF4367F14014}"/>
            </a:ext>
            <a:ext uri="{147F2762-F138-4A5C-976F-8EAC2B608ADB}">
              <a16:predDERef xmlns:a16="http://schemas.microsoft.com/office/drawing/2014/main" pred="{5AC67E43-51B4-4431-A96A-3A5105252708}"/>
            </a:ext>
          </a:extLst>
        </xdr:cNvPr>
        <xdr:cNvCxnSpPr>
          <a:cxnSpLocks/>
          <a:extLst>
            <a:ext uri="{5F17804C-33F3-41E3-A699-7DCFA2EF7971}">
              <a16:cxnDERefs xmlns:a16="http://schemas.microsoft.com/office/drawing/2014/main" st="{0E9C4EDE-4190-467C-9827-4D0E937F4287}" end="{00000000-0000-0000-0000-000000000000}"/>
            </a:ext>
          </a:extLst>
        </xdr:cNvCxnSpPr>
      </xdr:nvCxnSpPr>
      <xdr:spPr>
        <a:xfrm flipH="1">
          <a:off x="3552825" y="2500313"/>
          <a:ext cx="800100" cy="59531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43</xdr:row>
      <xdr:rowOff>161925</xdr:rowOff>
    </xdr:from>
    <xdr:to>
      <xdr:col>17</xdr:col>
      <xdr:colOff>133350</xdr:colOff>
      <xdr:row>45</xdr:row>
      <xdr:rowOff>104775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FE4CAE7-62D9-4C9C-946E-41D5396D5C1F}"/>
            </a:ext>
            <a:ext uri="{147F2762-F138-4A5C-976F-8EAC2B608ADB}">
              <a16:predDERef xmlns:a16="http://schemas.microsoft.com/office/drawing/2014/main" pred="{BDA6D1EE-7145-4D3F-A25C-EF4367F14014}"/>
            </a:ext>
          </a:extLst>
        </xdr:cNvPr>
        <xdr:cNvCxnSpPr>
          <a:cxnSpLocks/>
        </xdr:cNvCxnSpPr>
      </xdr:nvCxnSpPr>
      <xdr:spPr>
        <a:xfrm flipH="1">
          <a:off x="3562350" y="8410575"/>
          <a:ext cx="714375" cy="3048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46</xdr:row>
      <xdr:rowOff>114300</xdr:rowOff>
    </xdr:from>
    <xdr:to>
      <xdr:col>16</xdr:col>
      <xdr:colOff>600075</xdr:colOff>
      <xdr:row>50</xdr:row>
      <xdr:rowOff>23813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F90B9917-06BA-4F73-BDBD-298224D15BD9}"/>
            </a:ext>
            <a:ext uri="{147F2762-F138-4A5C-976F-8EAC2B608ADB}">
              <a16:predDERef xmlns:a16="http://schemas.microsoft.com/office/drawing/2014/main" pred="{4FE4CAE7-62D9-4C9C-946E-41D5396D5C1F}"/>
            </a:ext>
          </a:extLst>
        </xdr:cNvPr>
        <xdr:cNvCxnSpPr>
          <a:cxnSpLocks/>
          <a:stCxn id="18" idx="1"/>
          <a:extLst>
            <a:ext uri="{5F17804C-33F3-41E3-A699-7DCFA2EF7971}">
              <a16:cxnDERefs xmlns:a16="http://schemas.microsoft.com/office/drawing/2014/main" st="{4E53CCEC-E7C8-48FA-9A01-73E307BAB921}" end="{00000000-0000-0000-0000-000000000000}"/>
            </a:ext>
          </a:extLst>
        </xdr:cNvCxnSpPr>
      </xdr:nvCxnSpPr>
      <xdr:spPr>
        <a:xfrm flipH="1" flipV="1">
          <a:off x="3571875" y="8905875"/>
          <a:ext cx="561975" cy="48101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0</xdr:row>
      <xdr:rowOff>9525</xdr:rowOff>
    </xdr:from>
    <xdr:to>
      <xdr:col>28</xdr:col>
      <xdr:colOff>600075</xdr:colOff>
      <xdr:row>1</xdr:row>
      <xdr:rowOff>9525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C88CB47-65B5-4E06-BB59-B379390DFB95}"/>
            </a:ext>
            <a:ext uri="{147F2762-F138-4A5C-976F-8EAC2B608ADB}">
              <a16:predDERef xmlns:a16="http://schemas.microsoft.com/office/drawing/2014/main" pred="{F90B9917-06BA-4F73-BDBD-298224D15BD9}"/>
            </a:ext>
          </a:extLst>
        </xdr:cNvPr>
        <xdr:cNvSpPr/>
      </xdr:nvSpPr>
      <xdr:spPr>
        <a:xfrm>
          <a:off x="19050" y="9525"/>
          <a:ext cx="11430000" cy="838200"/>
        </a:xfrm>
        <a:prstGeom prst="rect">
          <a:avLst/>
        </a:prstGeom>
        <a:solidFill>
          <a:srgbClr val="00629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 b="0" i="0" u="none" strike="noStrike">
            <a:solidFill>
              <a:schemeClr val="lt1"/>
            </a:solidFill>
            <a:latin typeface="Aptos Narrow" panose="020B00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0</xdr:row>
      <xdr:rowOff>133350</xdr:rowOff>
    </xdr:from>
    <xdr:to>
      <xdr:col>10</xdr:col>
      <xdr:colOff>266700</xdr:colOff>
      <xdr:row>0</xdr:row>
      <xdr:rowOff>733425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1DDCB98-2763-4665-9281-3F62E89F9BF9}"/>
            </a:ext>
            <a:ext uri="{147F2762-F138-4A5C-976F-8EAC2B608ADB}">
              <a16:predDERef xmlns:a16="http://schemas.microsoft.com/office/drawing/2014/main" pred="{0C88CB47-65B5-4E06-BB59-B379390DFB95}"/>
            </a:ext>
          </a:extLst>
        </xdr:cNvPr>
        <xdr:cNvSpPr txBox="1"/>
      </xdr:nvSpPr>
      <xdr:spPr>
        <a:xfrm>
          <a:off x="3495675" y="133350"/>
          <a:ext cx="6343650" cy="600075"/>
        </a:xfrm>
        <a:prstGeom prst="rect">
          <a:avLst/>
        </a:prstGeom>
        <a:noFill/>
        <a:ln w="9525" cmpd="sng">
          <a:noFill/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2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RUB A DUB HOT TUB - TTM P</a:t>
          </a:r>
          <a:r>
            <a:rPr lang="en-US" sz="240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rofit and Loss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533400</xdr:colOff>
      <xdr:row>0</xdr:row>
      <xdr:rowOff>781050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23A6139-EF40-4B70-801F-4641159C75ED}"/>
            </a:ext>
            <a:ext uri="{147F2762-F138-4A5C-976F-8EAC2B608ADB}">
              <a16:predDERef xmlns:a16="http://schemas.microsoft.com/office/drawing/2014/main" pred="{31DDCB98-2763-4665-9281-3F62E89F9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895350" cy="762000"/>
        </a:xfrm>
        <a:prstGeom prst="rect">
          <a:avLst/>
        </a:prstGeom>
      </xdr:spPr>
    </xdr:pic>
    <xdr:clientData/>
  </xdr:twoCellAnchor>
  <xdr:twoCellAnchor>
    <xdr:from>
      <xdr:col>16</xdr:col>
      <xdr:colOff>38100</xdr:colOff>
      <xdr:row>15</xdr:row>
      <xdr:rowOff>161925</xdr:rowOff>
    </xdr:from>
    <xdr:to>
      <xdr:col>17</xdr:col>
      <xdr:colOff>266700</xdr:colOff>
      <xdr:row>17</xdr:row>
      <xdr:rowOff>9525</xdr:rowOff>
    </xdr:to>
    <xdr:cxnSp macro="">
      <xdr:nvCxnSpPr>
        <xdr:cNvPr id="12" name="Straight Arrow Connector 3">
          <a:extLst>
            <a:ext uri="{FF2B5EF4-FFF2-40B4-BE49-F238E27FC236}">
              <a16:creationId xmlns:a16="http://schemas.microsoft.com/office/drawing/2014/main" id="{0F3C88A7-3C66-4269-BA80-8A487A9AC0DE}"/>
            </a:ext>
            <a:ext uri="{147F2762-F138-4A5C-976F-8EAC2B608ADB}">
              <a16:predDERef xmlns:a16="http://schemas.microsoft.com/office/drawing/2014/main" pred="{623A6139-EF40-4B70-801F-4641159C75ED}"/>
            </a:ext>
          </a:extLst>
        </xdr:cNvPr>
        <xdr:cNvCxnSpPr>
          <a:cxnSpLocks/>
        </xdr:cNvCxnSpPr>
      </xdr:nvCxnSpPr>
      <xdr:spPr>
        <a:xfrm flipH="1" flipV="1">
          <a:off x="3571875" y="3343275"/>
          <a:ext cx="838200" cy="2095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0</xdr:row>
      <xdr:rowOff>342900</xdr:rowOff>
    </xdr:from>
    <xdr:to>
      <xdr:col>25</xdr:col>
      <xdr:colOff>352425</xdr:colOff>
      <xdr:row>0</xdr:row>
      <xdr:rowOff>800100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53F3804-63A9-4706-9A72-87B1B3985FCC}"/>
            </a:ext>
            <a:ext uri="{147F2762-F138-4A5C-976F-8EAC2B608ADB}">
              <a16:predDERef xmlns:a16="http://schemas.microsoft.com/office/drawing/2014/main" pred="{0F3C88A7-3C66-4269-BA80-8A487A9AC0DE}"/>
            </a:ext>
          </a:extLst>
        </xdr:cNvPr>
        <xdr:cNvSpPr txBox="1"/>
      </xdr:nvSpPr>
      <xdr:spPr>
        <a:xfrm>
          <a:off x="2562225" y="342900"/>
          <a:ext cx="6810375" cy="457200"/>
        </a:xfrm>
        <a:prstGeom prst="rect">
          <a:avLst/>
        </a:prstGeom>
        <a:noFill/>
        <a:ln w="9525" cmpd="sng">
          <a:noFill/>
        </a:ln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2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RUB A DUB HOT TUB - </a:t>
          </a:r>
          <a:r>
            <a:rPr lang="en-US" sz="240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Annual</a:t>
          </a:r>
          <a:r>
            <a:rPr lang="en-US" sz="2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P</a:t>
          </a:r>
          <a:r>
            <a:rPr lang="en-US" sz="240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rofit and Loss</a:t>
          </a:r>
        </a:p>
      </xdr:txBody>
    </xdr:sp>
    <xdr:clientData/>
  </xdr:twoCellAnchor>
  <xdr:twoCellAnchor>
    <xdr:from>
      <xdr:col>17</xdr:col>
      <xdr:colOff>9525</xdr:colOff>
      <xdr:row>41</xdr:row>
      <xdr:rowOff>85725</xdr:rowOff>
    </xdr:from>
    <xdr:to>
      <xdr:col>22</xdr:col>
      <xdr:colOff>390525</xdr:colOff>
      <xdr:row>45</xdr:row>
      <xdr:rowOff>161925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43D08BC-E462-4844-AD0F-F16C0ED86E66}"/>
            </a:ext>
            <a:ext uri="{147F2762-F138-4A5C-976F-8EAC2B608ADB}">
              <a16:predDERef xmlns:a16="http://schemas.microsoft.com/office/drawing/2014/main" pred="{5AC67E43-51B4-4431-A96A-3A5105252708}"/>
            </a:ext>
          </a:extLst>
        </xdr:cNvPr>
        <xdr:cNvSpPr txBox="1"/>
      </xdr:nvSpPr>
      <xdr:spPr>
        <a:xfrm>
          <a:off x="4152900" y="7972425"/>
          <a:ext cx="342900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4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Net</a:t>
          </a:r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24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Profit</a:t>
          </a:r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Profit - Total Expenses)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 </a:t>
          </a:r>
        </a:p>
      </xdr:txBody>
    </xdr:sp>
    <xdr:clientData/>
  </xdr:twoCellAnchor>
  <xdr:twoCellAnchor>
    <xdr:from>
      <xdr:col>16</xdr:col>
      <xdr:colOff>600075</xdr:colOff>
      <xdr:row>48</xdr:row>
      <xdr:rowOff>9525</xdr:rowOff>
    </xdr:from>
    <xdr:to>
      <xdr:col>26</xdr:col>
      <xdr:colOff>123825</xdr:colOff>
      <xdr:row>52</xdr:row>
      <xdr:rowOff>47625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E53CCEC-E7C8-48FA-9A01-73E307BAB921}"/>
            </a:ext>
            <a:ext uri="{147F2762-F138-4A5C-976F-8EAC2B608ADB}">
              <a16:predDERef xmlns:a16="http://schemas.microsoft.com/office/drawing/2014/main" pred="{543D08BC-E462-4844-AD0F-F16C0ED86E66}"/>
            </a:ext>
          </a:extLst>
        </xdr:cNvPr>
        <xdr:cNvSpPr txBox="1"/>
      </xdr:nvSpPr>
      <xdr:spPr>
        <a:xfrm>
          <a:off x="4133850" y="8982075"/>
          <a:ext cx="561975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4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Net</a:t>
          </a:r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24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Profit Margin Percentage</a:t>
          </a:r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Net Profit / Total Sales) * 100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 </a:t>
          </a:r>
        </a:p>
      </xdr:txBody>
    </xdr:sp>
    <xdr:clientData/>
  </xdr:twoCellAnchor>
  <xdr:twoCellAnchor>
    <xdr:from>
      <xdr:col>17</xdr:col>
      <xdr:colOff>9525</xdr:colOff>
      <xdr:row>14</xdr:row>
      <xdr:rowOff>76200</xdr:rowOff>
    </xdr:from>
    <xdr:to>
      <xdr:col>23</xdr:col>
      <xdr:colOff>314325</xdr:colOff>
      <xdr:row>18</xdr:row>
      <xdr:rowOff>171450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25533F2-5CE6-4BF7-8E60-4DE1E225C477}"/>
            </a:ext>
            <a:ext uri="{147F2762-F138-4A5C-976F-8EAC2B608ADB}">
              <a16:predDERef xmlns:a16="http://schemas.microsoft.com/office/drawing/2014/main" pred="{4E53CCEC-E7C8-48FA-9A01-73E307BAB921}"/>
            </a:ext>
          </a:extLst>
        </xdr:cNvPr>
        <xdr:cNvSpPr txBox="1"/>
      </xdr:nvSpPr>
      <xdr:spPr>
        <a:xfrm>
          <a:off x="4152900" y="3076575"/>
          <a:ext cx="396240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</a:t>
          </a:r>
          <a:r>
            <a:rPr lang="en-US" sz="24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Margin</a:t>
          </a:r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Profit / Total Revenue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* 100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 </a:t>
          </a:r>
        </a:p>
      </xdr:txBody>
    </xdr:sp>
    <xdr:clientData/>
  </xdr:twoCellAnchor>
  <xdr:twoCellAnchor>
    <xdr:from>
      <xdr:col>16</xdr:col>
      <xdr:colOff>600075</xdr:colOff>
      <xdr:row>7</xdr:row>
      <xdr:rowOff>142875</xdr:rowOff>
    </xdr:from>
    <xdr:to>
      <xdr:col>24</xdr:col>
      <xdr:colOff>76200</xdr:colOff>
      <xdr:row>12</xdr:row>
      <xdr:rowOff>161925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9B79215-08A4-4B57-8B36-28120ECEBCBC}"/>
            </a:ext>
            <a:ext uri="{147F2762-F138-4A5C-976F-8EAC2B608ADB}">
              <a16:predDERef xmlns:a16="http://schemas.microsoft.com/office/drawing/2014/main" pred="{A25533F2-5CE6-4BF7-8E60-4DE1E225C477}"/>
            </a:ext>
          </a:extLst>
        </xdr:cNvPr>
        <xdr:cNvSpPr txBox="1"/>
      </xdr:nvSpPr>
      <xdr:spPr>
        <a:xfrm>
          <a:off x="4133850" y="1876425"/>
          <a:ext cx="435292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</a:t>
          </a:r>
          <a:r>
            <a:rPr lang="en-US" sz="24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Profit</a:t>
          </a:r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Total Sales - Total Cost of Goods Sold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) 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15</xdr:row>
      <xdr:rowOff>76200</xdr:rowOff>
    </xdr:from>
    <xdr:to>
      <xdr:col>18</xdr:col>
      <xdr:colOff>0</xdr:colOff>
      <xdr:row>18</xdr:row>
      <xdr:rowOff>66675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E93F7F47-0D33-4E16-989A-49C51890CB90}"/>
            </a:ext>
            <a:ext uri="{147F2762-F138-4A5C-976F-8EAC2B608ADB}">
              <a16:predDERef xmlns:a16="http://schemas.microsoft.com/office/drawing/2014/main" pred="{2208DBF5-97FB-4570-BB07-143C716EC4F6}"/>
            </a:ext>
          </a:extLst>
        </xdr:cNvPr>
        <xdr:cNvCxnSpPr>
          <a:cxnSpLocks/>
          <a:extLst>
            <a:ext uri="{5F17804C-33F3-41E3-A699-7DCFA2EF7971}">
              <a16:cxnDERefs xmlns:a16="http://schemas.microsoft.com/office/drawing/2014/main" st="{2208DBF5-97FB-4570-BB07-143C716EC4F6}" end="{00000000-0000-0000-0000-000000000000}"/>
            </a:ext>
          </a:extLst>
        </xdr:cNvCxnSpPr>
      </xdr:nvCxnSpPr>
      <xdr:spPr>
        <a:xfrm flipH="1">
          <a:off x="14554200" y="3257550"/>
          <a:ext cx="952500" cy="5334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75</xdr:row>
      <xdr:rowOff>133350</xdr:rowOff>
    </xdr:from>
    <xdr:to>
      <xdr:col>18</xdr:col>
      <xdr:colOff>257175</xdr:colOff>
      <xdr:row>77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CAFCC5C7-3C3C-4DD8-89E2-1E98BD98C9D1}"/>
            </a:ext>
            <a:ext uri="{147F2762-F138-4A5C-976F-8EAC2B608ADB}">
              <a16:predDERef xmlns:a16="http://schemas.microsoft.com/office/drawing/2014/main" pred="{E93F7F47-0D33-4E16-989A-49C51890CB90}"/>
            </a:ext>
          </a:extLst>
        </xdr:cNvPr>
        <xdr:cNvCxnSpPr>
          <a:cxnSpLocks/>
        </xdr:cNvCxnSpPr>
      </xdr:nvCxnSpPr>
      <xdr:spPr>
        <a:xfrm flipH="1">
          <a:off x="14525625" y="14173200"/>
          <a:ext cx="1238250" cy="3048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78</xdr:row>
      <xdr:rowOff>104775</xdr:rowOff>
    </xdr:from>
    <xdr:to>
      <xdr:col>17</xdr:col>
      <xdr:colOff>990600</xdr:colOff>
      <xdr:row>81</xdr:row>
      <xdr:rowOff>157163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375846DD-153B-42BE-B08D-A851CF4E0BB4}"/>
            </a:ext>
            <a:ext uri="{147F2762-F138-4A5C-976F-8EAC2B608ADB}">
              <a16:predDERef xmlns:a16="http://schemas.microsoft.com/office/drawing/2014/main" pred="{CAFCC5C7-3C3C-4DD8-89E2-1E98BD98C9D1}"/>
            </a:ext>
          </a:extLst>
        </xdr:cNvPr>
        <xdr:cNvCxnSpPr>
          <a:cxnSpLocks/>
          <a:stCxn id="15" idx="1"/>
          <a:extLst>
            <a:ext uri="{5F17804C-33F3-41E3-A699-7DCFA2EF7971}">
              <a16:cxnDERefs xmlns:a16="http://schemas.microsoft.com/office/drawing/2014/main" st="{114AD0FE-1E15-49ED-841E-9F9C234958FF}" end="{00000000-0000-0000-0000-000000000000}"/>
            </a:ext>
          </a:extLst>
        </xdr:cNvCxnSpPr>
      </xdr:nvCxnSpPr>
      <xdr:spPr>
        <a:xfrm flipH="1" flipV="1">
          <a:off x="14525625" y="14687550"/>
          <a:ext cx="971550" cy="414338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9525</xdr:rowOff>
    </xdr:from>
    <xdr:to>
      <xdr:col>15</xdr:col>
      <xdr:colOff>1144681</xdr:colOff>
      <xdr:row>0</xdr:row>
      <xdr:rowOff>752475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BF7F4E9-3A4F-4010-A8BE-858947C4FB59}"/>
            </a:ext>
            <a:ext uri="{147F2762-F138-4A5C-976F-8EAC2B608ADB}">
              <a16:predDERef xmlns:a16="http://schemas.microsoft.com/office/drawing/2014/main" pred="{1314A209-C580-4E72-BEE9-D7A863F812B5}"/>
            </a:ext>
          </a:extLst>
        </xdr:cNvPr>
        <xdr:cNvSpPr/>
      </xdr:nvSpPr>
      <xdr:spPr>
        <a:xfrm>
          <a:off x="0" y="9525"/>
          <a:ext cx="14498731" cy="742950"/>
        </a:xfrm>
        <a:prstGeom prst="rect">
          <a:avLst/>
        </a:prstGeom>
        <a:solidFill>
          <a:srgbClr val="00629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4</xdr:col>
      <xdr:colOff>466725</xdr:colOff>
      <xdr:row>0</xdr:row>
      <xdr:rowOff>314325</xdr:rowOff>
    </xdr:from>
    <xdr:to>
      <xdr:col>11</xdr:col>
      <xdr:colOff>600075</xdr:colOff>
      <xdr:row>1</xdr:row>
      <xdr:rowOff>47625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C0AB459-5046-4EF6-B0D8-28321F05BE0E}"/>
            </a:ext>
            <a:ext uri="{147F2762-F138-4A5C-976F-8EAC2B608ADB}">
              <a16:predDERef xmlns:a16="http://schemas.microsoft.com/office/drawing/2014/main" pred="{3BF7F4E9-3A4F-4010-A8BE-858947C4FB59}"/>
            </a:ext>
          </a:extLst>
        </xdr:cNvPr>
        <xdr:cNvSpPr txBox="1"/>
      </xdr:nvSpPr>
      <xdr:spPr>
        <a:xfrm>
          <a:off x="4781550" y="314325"/>
          <a:ext cx="6267450" cy="571500"/>
        </a:xfrm>
        <a:prstGeom prst="rect">
          <a:avLst/>
        </a:prstGeom>
        <a:noFill/>
        <a:ln w="9525" cmpd="sng">
          <a:noFill/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2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RUB A DUB HOT TUB - TTM P</a:t>
          </a:r>
          <a:r>
            <a:rPr lang="en-US" sz="240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rofit and Loss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723900</xdr:colOff>
      <xdr:row>0</xdr:row>
      <xdr:rowOff>723900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19AF456-16E1-42DC-A1A8-E848FD198E1B}"/>
            </a:ext>
            <a:ext uri="{147F2762-F138-4A5C-976F-8EAC2B608ADB}">
              <a16:predDERef xmlns:a16="http://schemas.microsoft.com/office/drawing/2014/main" pred="{DC0AB459-5046-4EF6-B0D8-28321F05B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1028700" cy="723900"/>
        </a:xfrm>
        <a:prstGeom prst="rect">
          <a:avLst/>
        </a:prstGeom>
      </xdr:spPr>
    </xdr:pic>
    <xdr:clientData/>
  </xdr:twoCellAnchor>
  <xdr:twoCellAnchor>
    <xdr:from>
      <xdr:col>17</xdr:col>
      <xdr:colOff>47625</xdr:colOff>
      <xdr:row>19</xdr:row>
      <xdr:rowOff>104775</xdr:rowOff>
    </xdr:from>
    <xdr:to>
      <xdr:col>18</xdr:col>
      <xdr:colOff>266700</xdr:colOff>
      <xdr:row>22</xdr:row>
      <xdr:rowOff>0</xdr:rowOff>
    </xdr:to>
    <xdr:cxnSp macro="">
      <xdr:nvCxnSpPr>
        <xdr:cNvPr id="12" name="Straight Arrow Connector 3">
          <a:extLst>
            <a:ext uri="{FF2B5EF4-FFF2-40B4-BE49-F238E27FC236}">
              <a16:creationId xmlns:a16="http://schemas.microsoft.com/office/drawing/2014/main" id="{9FD55450-5FD8-423D-A5BE-FB41949F0A9D}"/>
            </a:ext>
            <a:ext uri="{147F2762-F138-4A5C-976F-8EAC2B608ADB}">
              <a16:predDERef xmlns:a16="http://schemas.microsoft.com/office/drawing/2014/main" pred="{A6E801D0-9DAA-8D51-9F04-58191956A812}"/>
            </a:ext>
          </a:extLst>
        </xdr:cNvPr>
        <xdr:cNvCxnSpPr>
          <a:cxnSpLocks/>
        </xdr:cNvCxnSpPr>
      </xdr:nvCxnSpPr>
      <xdr:spPr>
        <a:xfrm flipH="1" flipV="1">
          <a:off x="14554200" y="4152900"/>
          <a:ext cx="1219200" cy="4667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18</xdr:row>
      <xdr:rowOff>161925</xdr:rowOff>
    </xdr:from>
    <xdr:to>
      <xdr:col>23</xdr:col>
      <xdr:colOff>123825</xdr:colOff>
      <xdr:row>24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DB8B15-267E-43F8-8866-8AEE833A57C3}"/>
            </a:ext>
            <a:ext uri="{147F2762-F138-4A5C-976F-8EAC2B608ADB}">
              <a16:predDERef xmlns:a16="http://schemas.microsoft.com/office/drawing/2014/main" pred="{9FD55450-5FD8-423D-A5BE-FB41949F0A9D}"/>
            </a:ext>
          </a:extLst>
        </xdr:cNvPr>
        <xdr:cNvSpPr txBox="1"/>
      </xdr:nvSpPr>
      <xdr:spPr>
        <a:xfrm>
          <a:off x="15506700" y="3886200"/>
          <a:ext cx="397192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Margin 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Profit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/ Total Revenue) * 100 </a:t>
          </a:r>
        </a:p>
      </xdr:txBody>
    </xdr:sp>
    <xdr:clientData/>
  </xdr:twoCellAnchor>
  <xdr:twoCellAnchor>
    <xdr:from>
      <xdr:col>18</xdr:col>
      <xdr:colOff>0</xdr:colOff>
      <xdr:row>11</xdr:row>
      <xdr:rowOff>152400</xdr:rowOff>
    </xdr:from>
    <xdr:to>
      <xdr:col>23</xdr:col>
      <xdr:colOff>504825</xdr:colOff>
      <xdr:row>16</xdr:row>
      <xdr:rowOff>171450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3F8149D-766A-40C5-996F-BC31459501EB}"/>
            </a:ext>
            <a:ext uri="{147F2762-F138-4A5C-976F-8EAC2B608ADB}">
              <a16:predDERef xmlns:a16="http://schemas.microsoft.com/office/drawing/2014/main" pred="{A5DB8B15-267E-43F8-8866-8AEE833A57C3}"/>
            </a:ext>
          </a:extLst>
        </xdr:cNvPr>
        <xdr:cNvSpPr txBox="1"/>
      </xdr:nvSpPr>
      <xdr:spPr>
        <a:xfrm>
          <a:off x="15506700" y="2609850"/>
          <a:ext cx="435292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</a:t>
          </a:r>
          <a:r>
            <a:rPr lang="en-US" sz="24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Profit</a:t>
          </a:r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Total Sales - Total Cost of Goods Sold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)  </a:t>
          </a:r>
        </a:p>
      </xdr:txBody>
    </xdr:sp>
    <xdr:clientData/>
  </xdr:twoCellAnchor>
  <xdr:twoCellAnchor>
    <xdr:from>
      <xdr:col>18</xdr:col>
      <xdr:colOff>0</xdr:colOff>
      <xdr:row>73</xdr:row>
      <xdr:rowOff>9525</xdr:rowOff>
    </xdr:from>
    <xdr:to>
      <xdr:col>22</xdr:col>
      <xdr:colOff>247650</xdr:colOff>
      <xdr:row>77</xdr:row>
      <xdr:rowOff>171450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C790876-2FFF-4B4D-A447-8EB201250860}"/>
            </a:ext>
            <a:ext uri="{147F2762-F138-4A5C-976F-8EAC2B608ADB}">
              <a16:predDERef xmlns:a16="http://schemas.microsoft.com/office/drawing/2014/main" pred="{03F8149D-766A-40C5-996F-BC31459501EB}"/>
            </a:ext>
          </a:extLst>
        </xdr:cNvPr>
        <xdr:cNvSpPr txBox="1"/>
      </xdr:nvSpPr>
      <xdr:spPr>
        <a:xfrm>
          <a:off x="15506700" y="13687425"/>
          <a:ext cx="3486150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Net Profit 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Profit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- Total Expenses)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>
    <xdr:from>
      <xdr:col>17</xdr:col>
      <xdr:colOff>990600</xdr:colOff>
      <xdr:row>78</xdr:row>
      <xdr:rowOff>104775</xdr:rowOff>
    </xdr:from>
    <xdr:to>
      <xdr:col>26</xdr:col>
      <xdr:colOff>0</xdr:colOff>
      <xdr:row>84</xdr:row>
      <xdr:rowOff>9525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14AD0FE-1E15-49ED-841E-9F9C234958FF}"/>
            </a:ext>
            <a:ext uri="{147F2762-F138-4A5C-976F-8EAC2B608ADB}">
              <a16:predDERef xmlns:a16="http://schemas.microsoft.com/office/drawing/2014/main" pred="{4C790876-2FFF-4B4D-A447-8EB201250860}"/>
            </a:ext>
          </a:extLst>
        </xdr:cNvPr>
        <xdr:cNvSpPr txBox="1"/>
      </xdr:nvSpPr>
      <xdr:spPr>
        <a:xfrm>
          <a:off x="15497175" y="14687550"/>
          <a:ext cx="56864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4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Net Profit</a:t>
          </a:r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Margin </a:t>
          </a:r>
          <a:r>
            <a:rPr lang="en-US" sz="24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 </a:t>
          </a:r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Net</a:t>
          </a:r>
          <a:r>
            <a:rPr lang="en-US" sz="180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Profit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/ Total 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Sales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) * 100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A781-AC3F-4F86-AED2-1AE5391C67A3}">
  <sheetPr>
    <pageSetUpPr fitToPage="1"/>
  </sheetPr>
  <dimension ref="A1:O51"/>
  <sheetViews>
    <sheetView workbookViewId="0">
      <selection activeCell="C14" sqref="C14"/>
    </sheetView>
  </sheetViews>
  <sheetFormatPr defaultRowHeight="14.4" x14ac:dyDescent="0.3"/>
  <cols>
    <col min="1" max="1" width="41.5546875" style="27" customWidth="1"/>
    <col min="2" max="2" width="15.44140625" customWidth="1"/>
    <col min="3" max="3" width="21.109375" style="30" customWidth="1"/>
    <col min="4" max="4" width="8.88671875" bestFit="1" customWidth="1"/>
    <col min="5" max="5" width="1.5546875" customWidth="1"/>
    <col min="6" max="6" width="3" customWidth="1"/>
    <col min="7" max="7" width="13.5546875" customWidth="1"/>
    <col min="8" max="8" width="1.88671875" customWidth="1"/>
    <col min="9" max="9" width="12.44140625" customWidth="1"/>
    <col min="10" max="10" width="2.44140625" customWidth="1"/>
    <col min="11" max="11" width="8" customWidth="1"/>
    <col min="12" max="12" width="2" customWidth="1"/>
    <col min="13" max="13" width="8.88671875" bestFit="1" customWidth="1"/>
    <col min="14" max="14" width="10.5546875" customWidth="1"/>
  </cols>
  <sheetData>
    <row r="1" spans="1:14" ht="55.5" customHeight="1" x14ac:dyDescent="0.3">
      <c r="A1" s="31"/>
      <c r="N1" s="31"/>
    </row>
    <row r="3" spans="1:14" ht="17.399999999999999" x14ac:dyDescent="0.3">
      <c r="A3" s="32" t="s">
        <v>0</v>
      </c>
    </row>
    <row r="4" spans="1:14" ht="15" customHeight="1" x14ac:dyDescent="0.3"/>
    <row r="5" spans="1:14" ht="15.6" x14ac:dyDescent="0.3">
      <c r="A5" s="33" t="s">
        <v>1</v>
      </c>
    </row>
    <row r="6" spans="1:14" x14ac:dyDescent="0.3">
      <c r="A6" s="34" t="s">
        <v>2</v>
      </c>
      <c r="C6" s="122">
        <v>65000</v>
      </c>
    </row>
    <row r="7" spans="1:14" x14ac:dyDescent="0.3">
      <c r="A7" s="34" t="s">
        <v>3</v>
      </c>
      <c r="C7" s="122">
        <v>35000</v>
      </c>
    </row>
    <row r="8" spans="1:14" x14ac:dyDescent="0.3">
      <c r="A8" s="27" t="s">
        <v>4</v>
      </c>
      <c r="C8" s="122">
        <v>80000</v>
      </c>
    </row>
    <row r="9" spans="1:14" ht="24" customHeight="1" x14ac:dyDescent="0.45">
      <c r="A9" s="27" t="s">
        <v>5</v>
      </c>
      <c r="C9" s="122">
        <v>180000</v>
      </c>
      <c r="G9" s="35"/>
    </row>
    <row r="10" spans="1:14" x14ac:dyDescent="0.3">
      <c r="A10" s="27" t="s">
        <v>6</v>
      </c>
      <c r="C10" s="122">
        <v>10000</v>
      </c>
    </row>
    <row r="11" spans="1:14" x14ac:dyDescent="0.3">
      <c r="A11" s="36" t="s">
        <v>7</v>
      </c>
      <c r="B11" s="37"/>
      <c r="C11" s="123">
        <f>SUM(C6:C10)</f>
        <v>370000</v>
      </c>
    </row>
    <row r="12" spans="1:14" ht="15" customHeight="1" x14ac:dyDescent="0.3">
      <c r="C12" s="122"/>
    </row>
    <row r="13" spans="1:14" ht="15.6" x14ac:dyDescent="0.3">
      <c r="A13" s="33" t="s">
        <v>8</v>
      </c>
      <c r="C13" s="122"/>
    </row>
    <row r="14" spans="1:14" x14ac:dyDescent="0.3">
      <c r="A14" s="39" t="s">
        <v>9</v>
      </c>
      <c r="C14" s="122"/>
      <c r="G14" s="40" t="s">
        <v>10</v>
      </c>
    </row>
    <row r="15" spans="1:14" x14ac:dyDescent="0.3">
      <c r="A15" s="27" t="s">
        <v>11</v>
      </c>
      <c r="C15" s="122">
        <v>55000</v>
      </c>
      <c r="G15" s="38">
        <f>C11</f>
        <v>370000</v>
      </c>
      <c r="H15" s="41" t="s">
        <v>12</v>
      </c>
      <c r="I15" s="38">
        <f>C33</f>
        <v>200000</v>
      </c>
      <c r="J15" s="41" t="s">
        <v>13</v>
      </c>
      <c r="K15" s="42">
        <f>(C11/C33)</f>
        <v>1.85</v>
      </c>
      <c r="L15" s="43"/>
      <c r="M15" s="43"/>
      <c r="N15" s="43"/>
    </row>
    <row r="16" spans="1:14" x14ac:dyDescent="0.3">
      <c r="A16" s="27" t="s">
        <v>14</v>
      </c>
      <c r="C16" s="122">
        <v>90000</v>
      </c>
    </row>
    <row r="17" spans="1:14" x14ac:dyDescent="0.3">
      <c r="A17" s="27" t="s">
        <v>15</v>
      </c>
      <c r="C17" s="122">
        <v>10000</v>
      </c>
    </row>
    <row r="18" spans="1:14" ht="24" customHeight="1" x14ac:dyDescent="0.45">
      <c r="A18" s="27" t="s">
        <v>16</v>
      </c>
      <c r="C18" s="122">
        <v>25000</v>
      </c>
      <c r="G18" s="35"/>
    </row>
    <row r="19" spans="1:14" x14ac:dyDescent="0.3">
      <c r="A19" s="39" t="s">
        <v>17</v>
      </c>
      <c r="C19" s="124">
        <f>SUM(C15:C18)</f>
        <v>180000</v>
      </c>
    </row>
    <row r="20" spans="1:14" ht="15.6" x14ac:dyDescent="0.3">
      <c r="A20" s="44" t="s">
        <v>18</v>
      </c>
      <c r="C20" s="122">
        <v>-15000</v>
      </c>
      <c r="G20" s="43"/>
      <c r="H20" s="43"/>
      <c r="I20" s="43"/>
      <c r="J20" s="43"/>
      <c r="K20" s="43"/>
      <c r="L20" s="43"/>
      <c r="M20" s="43"/>
      <c r="N20" s="43"/>
    </row>
    <row r="21" spans="1:14" x14ac:dyDescent="0.3">
      <c r="A21" s="36" t="s">
        <v>19</v>
      </c>
      <c r="B21" s="37"/>
      <c r="C21" s="125">
        <f>SUM(C19+C20)</f>
        <v>165000</v>
      </c>
    </row>
    <row r="22" spans="1:14" x14ac:dyDescent="0.3">
      <c r="C22" s="122"/>
      <c r="G22" s="30"/>
      <c r="I22" s="30"/>
      <c r="K22" s="43"/>
    </row>
    <row r="23" spans="1:14" ht="15.6" x14ac:dyDescent="0.3">
      <c r="A23" s="45" t="s">
        <v>20</v>
      </c>
      <c r="B23" s="37"/>
      <c r="C23" s="126">
        <f>SUM(C11,C21)</f>
        <v>535000</v>
      </c>
    </row>
    <row r="24" spans="1:14" ht="15" customHeight="1" x14ac:dyDescent="0.3">
      <c r="C24" s="122"/>
    </row>
    <row r="25" spans="1:14" ht="17.399999999999999" x14ac:dyDescent="0.3">
      <c r="A25" s="32" t="s">
        <v>21</v>
      </c>
      <c r="C25" s="122"/>
    </row>
    <row r="26" spans="1:14" ht="15" customHeight="1" x14ac:dyDescent="0.3">
      <c r="C26" s="122"/>
    </row>
    <row r="27" spans="1:14" ht="15.6" x14ac:dyDescent="0.3">
      <c r="A27" s="33" t="s">
        <v>22</v>
      </c>
      <c r="C27" s="122"/>
    </row>
    <row r="28" spans="1:14" ht="15" customHeight="1" x14ac:dyDescent="0.3">
      <c r="A28" s="27" t="s">
        <v>23</v>
      </c>
      <c r="C28" s="122">
        <v>80000</v>
      </c>
    </row>
    <row r="29" spans="1:14" ht="15" customHeight="1" x14ac:dyDescent="0.3">
      <c r="A29" s="27" t="s">
        <v>24</v>
      </c>
      <c r="C29" s="122">
        <v>50000</v>
      </c>
    </row>
    <row r="30" spans="1:14" x14ac:dyDescent="0.3">
      <c r="A30" s="27" t="s">
        <v>25</v>
      </c>
      <c r="C30" s="122">
        <v>30000</v>
      </c>
    </row>
    <row r="31" spans="1:14" x14ac:dyDescent="0.3">
      <c r="A31" s="27" t="s">
        <v>26</v>
      </c>
      <c r="C31" s="122">
        <v>30000</v>
      </c>
    </row>
    <row r="32" spans="1:14" x14ac:dyDescent="0.3">
      <c r="A32" s="27" t="s">
        <v>27</v>
      </c>
      <c r="C32" s="122">
        <v>10000</v>
      </c>
    </row>
    <row r="33" spans="1:11" x14ac:dyDescent="0.3">
      <c r="A33" s="36" t="s">
        <v>28</v>
      </c>
      <c r="B33" s="37"/>
      <c r="C33" s="123">
        <f>SUM(C28:C32)</f>
        <v>200000</v>
      </c>
    </row>
    <row r="34" spans="1:11" ht="15" customHeight="1" x14ac:dyDescent="0.3">
      <c r="C34" s="122"/>
    </row>
    <row r="35" spans="1:11" ht="15.6" x14ac:dyDescent="0.3">
      <c r="A35" s="33" t="s">
        <v>29</v>
      </c>
      <c r="C35" s="122"/>
    </row>
    <row r="36" spans="1:11" x14ac:dyDescent="0.3">
      <c r="A36" s="27" t="s">
        <v>30</v>
      </c>
      <c r="C36" s="122">
        <v>90000</v>
      </c>
    </row>
    <row r="37" spans="1:11" x14ac:dyDescent="0.3">
      <c r="A37" s="27" t="s">
        <v>31</v>
      </c>
      <c r="C37" s="127">
        <v>80000</v>
      </c>
      <c r="G37" s="46" t="s">
        <v>32</v>
      </c>
      <c r="H37" s="47"/>
      <c r="I37" s="47"/>
    </row>
    <row r="38" spans="1:11" x14ac:dyDescent="0.3">
      <c r="A38" s="27" t="s">
        <v>33</v>
      </c>
      <c r="C38" s="122">
        <v>50000</v>
      </c>
      <c r="G38" s="48">
        <f>C$41</f>
        <v>420000</v>
      </c>
      <c r="H38" s="49" t="s">
        <v>12</v>
      </c>
      <c r="I38" s="48">
        <f>C37+C47</f>
        <v>195000</v>
      </c>
      <c r="J38" s="49" t="s">
        <v>13</v>
      </c>
      <c r="K38" s="50">
        <f>(C$41/(C$47+C37))</f>
        <v>2.1538461538461537</v>
      </c>
    </row>
    <row r="39" spans="1:11" x14ac:dyDescent="0.3">
      <c r="A39" s="36" t="s">
        <v>34</v>
      </c>
      <c r="B39" s="37"/>
      <c r="C39" s="125">
        <f>SUM(C36:C38)</f>
        <v>220000</v>
      </c>
    </row>
    <row r="40" spans="1:11" x14ac:dyDescent="0.3">
      <c r="C40" s="122"/>
    </row>
    <row r="41" spans="1:11" ht="15.6" x14ac:dyDescent="0.3">
      <c r="A41" s="45" t="s">
        <v>35</v>
      </c>
      <c r="B41" s="37"/>
      <c r="C41" s="128">
        <f>SUM(C33,C39)</f>
        <v>420000</v>
      </c>
    </row>
    <row r="42" spans="1:11" ht="15" customHeight="1" x14ac:dyDescent="0.3">
      <c r="C42" s="122"/>
    </row>
    <row r="43" spans="1:11" ht="17.399999999999999" x14ac:dyDescent="0.3">
      <c r="A43" s="32" t="s">
        <v>36</v>
      </c>
      <c r="C43" s="122"/>
    </row>
    <row r="44" spans="1:11" x14ac:dyDescent="0.3">
      <c r="A44" s="27" t="s">
        <v>37</v>
      </c>
      <c r="C44" s="122">
        <v>50000</v>
      </c>
    </row>
    <row r="45" spans="1:11" x14ac:dyDescent="0.3">
      <c r="A45" s="27" t="s">
        <v>38</v>
      </c>
      <c r="C45" s="122">
        <v>34000</v>
      </c>
    </row>
    <row r="46" spans="1:11" x14ac:dyDescent="0.3">
      <c r="A46" s="27" t="s">
        <v>39</v>
      </c>
      <c r="C46" s="122">
        <v>31000</v>
      </c>
    </row>
    <row r="47" spans="1:11" x14ac:dyDescent="0.3">
      <c r="A47" s="39" t="s">
        <v>40</v>
      </c>
      <c r="C47" s="128">
        <f>SUM(C44:C46)</f>
        <v>115000</v>
      </c>
    </row>
    <row r="48" spans="1:11" ht="15" customHeight="1" x14ac:dyDescent="0.3">
      <c r="C48" s="122"/>
    </row>
    <row r="49" spans="1:15" ht="17.399999999999999" x14ac:dyDescent="0.3">
      <c r="A49" s="51" t="s">
        <v>41</v>
      </c>
      <c r="B49" s="37"/>
      <c r="C49" s="125">
        <f>SUM(C41,C47)</f>
        <v>535000</v>
      </c>
    </row>
    <row r="51" spans="1:15" ht="15.75" customHeight="1" x14ac:dyDescent="0.3">
      <c r="A51" s="176" t="s">
        <v>42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</row>
  </sheetData>
  <sheetProtection algorithmName="SHA-512" hashValue="gFfogBrJNAL4cl/O2CbWZoV8xd0IYF+14hnRsiq/MxgnxnZokCOKKd/Tq1LFxcfMts5Em9xYskhRXrRIeqc05g==" saltValue="lJD2VtWlUHN+0UuIk6x/Mg==" spinCount="100000" sheet="1" objects="1" scenarios="1"/>
  <mergeCells count="1">
    <mergeCell ref="A51:O51"/>
  </mergeCells>
  <pageMargins left="0.70866141732283472" right="0.70866141732283472" top="0.74803149606299213" bottom="0.74803149606299213" header="0.31496062992125984" footer="0.31496062992125984"/>
  <pageSetup scale="54" fitToHeight="0" orientation="portrait" verticalDpi="0" r:id="rId1"/>
  <headerFooter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93429-E352-48AE-BFF9-099234B47AF9}">
  <sheetPr>
    <pageSetUpPr fitToPage="1"/>
  </sheetPr>
  <dimension ref="A1:AF55"/>
  <sheetViews>
    <sheetView workbookViewId="0">
      <selection activeCell="C1" sqref="C1:O1048576"/>
    </sheetView>
  </sheetViews>
  <sheetFormatPr defaultRowHeight="14.4" x14ac:dyDescent="0.3"/>
  <cols>
    <col min="1" max="1" width="5.6640625" customWidth="1"/>
    <col min="2" max="2" width="32.6640625" customWidth="1"/>
    <col min="3" max="3" width="13.5546875" hidden="1" customWidth="1"/>
    <col min="4" max="14" width="13.109375" hidden="1" customWidth="1"/>
    <col min="15" max="15" width="8.88671875" hidden="1" customWidth="1"/>
    <col min="16" max="16" width="14.5546875" customWidth="1"/>
  </cols>
  <sheetData>
    <row r="1" spans="1:32" ht="66" customHeight="1" x14ac:dyDescent="0.75">
      <c r="A1" s="1"/>
      <c r="B1" s="53"/>
      <c r="C1" s="2"/>
      <c r="E1" s="3"/>
      <c r="F1" s="3"/>
      <c r="G1" s="2"/>
      <c r="H1" s="4"/>
      <c r="I1" s="4"/>
      <c r="J1" s="2"/>
      <c r="K1" s="4"/>
      <c r="L1" s="4"/>
      <c r="M1" s="4"/>
      <c r="N1" s="4"/>
      <c r="O1" s="54"/>
      <c r="P1" s="55"/>
      <c r="Q1" s="2"/>
    </row>
    <row r="2" spans="1:32" s="27" customFormat="1" ht="27.75" customHeight="1" x14ac:dyDescent="0.3">
      <c r="A2" s="56"/>
      <c r="B2" s="57"/>
      <c r="C2" s="58" t="s">
        <v>43</v>
      </c>
      <c r="D2" s="58" t="s">
        <v>44</v>
      </c>
      <c r="E2" s="58" t="s">
        <v>45</v>
      </c>
      <c r="F2" s="58" t="s">
        <v>46</v>
      </c>
      <c r="G2" s="58" t="s">
        <v>47</v>
      </c>
      <c r="H2" s="58" t="s">
        <v>48</v>
      </c>
      <c r="I2" s="58" t="s">
        <v>49</v>
      </c>
      <c r="J2" s="58" t="s">
        <v>50</v>
      </c>
      <c r="K2" s="58" t="s">
        <v>51</v>
      </c>
      <c r="L2" s="58" t="s">
        <v>52</v>
      </c>
      <c r="M2" s="59" t="s">
        <v>53</v>
      </c>
      <c r="N2" s="58" t="s">
        <v>54</v>
      </c>
      <c r="O2" s="60"/>
      <c r="P2" s="61" t="s">
        <v>55</v>
      </c>
      <c r="Q2" s="56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x14ac:dyDescent="0.3">
      <c r="A3" s="14"/>
      <c r="B3" s="62" t="s">
        <v>56</v>
      </c>
      <c r="C3" s="11"/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  <c r="P3" s="13"/>
      <c r="Q3" s="10"/>
    </row>
    <row r="4" spans="1:32" hidden="1" x14ac:dyDescent="0.3">
      <c r="A4" s="14"/>
      <c r="B4" s="62" t="s">
        <v>57</v>
      </c>
      <c r="C4" s="63">
        <v>0.13</v>
      </c>
      <c r="D4" s="64">
        <v>0.04</v>
      </c>
      <c r="E4" s="64">
        <v>0.08</v>
      </c>
      <c r="F4" s="64">
        <v>0.05</v>
      </c>
      <c r="G4" s="64">
        <v>0.04</v>
      </c>
      <c r="H4" s="65">
        <v>0.05</v>
      </c>
      <c r="I4" s="65">
        <v>7.0000000000000007E-2</v>
      </c>
      <c r="J4" s="65">
        <v>0.1</v>
      </c>
      <c r="K4" s="65">
        <v>0.06</v>
      </c>
      <c r="L4" s="65">
        <v>0.17</v>
      </c>
      <c r="M4" s="65">
        <v>0.16</v>
      </c>
      <c r="N4" s="65">
        <v>0.05</v>
      </c>
      <c r="O4" s="15">
        <f>SUM(C4:N4)</f>
        <v>1</v>
      </c>
      <c r="P4" s="13"/>
      <c r="Q4" s="10"/>
    </row>
    <row r="5" spans="1:32" x14ac:dyDescent="0.3">
      <c r="A5" s="24">
        <v>4010</v>
      </c>
      <c r="B5" s="66" t="s">
        <v>58</v>
      </c>
      <c r="C5" s="67">
        <v>127600</v>
      </c>
      <c r="D5" s="68">
        <v>114200</v>
      </c>
      <c r="E5" s="68">
        <v>98600</v>
      </c>
      <c r="F5" s="68">
        <v>86500</v>
      </c>
      <c r="G5" s="68">
        <v>87900</v>
      </c>
      <c r="H5" s="68">
        <v>78600</v>
      </c>
      <c r="I5" s="68">
        <v>76400</v>
      </c>
      <c r="J5" s="68">
        <v>68600</v>
      </c>
      <c r="K5" s="68">
        <v>92300</v>
      </c>
      <c r="L5" s="68">
        <v>135200</v>
      </c>
      <c r="M5" s="68">
        <v>127600</v>
      </c>
      <c r="N5" s="68">
        <v>116500</v>
      </c>
      <c r="O5" s="69">
        <f>SUM(C5:N5)</f>
        <v>1210000</v>
      </c>
      <c r="P5" s="70">
        <f>SUM(C5:N5)</f>
        <v>1210000</v>
      </c>
      <c r="Q5" s="10"/>
    </row>
    <row r="6" spans="1:32" x14ac:dyDescent="0.3">
      <c r="A6" s="23"/>
      <c r="B6" s="71" t="s">
        <v>59</v>
      </c>
      <c r="C6" s="72">
        <f t="shared" ref="C6:N6" si="0">SUM(C5:C5)</f>
        <v>127600</v>
      </c>
      <c r="D6" s="73">
        <f t="shared" si="0"/>
        <v>114200</v>
      </c>
      <c r="E6" s="73">
        <f t="shared" si="0"/>
        <v>98600</v>
      </c>
      <c r="F6" s="73">
        <f t="shared" si="0"/>
        <v>86500</v>
      </c>
      <c r="G6" s="73">
        <f t="shared" si="0"/>
        <v>87900</v>
      </c>
      <c r="H6" s="73">
        <f t="shared" si="0"/>
        <v>78600</v>
      </c>
      <c r="I6" s="73">
        <f t="shared" si="0"/>
        <v>76400</v>
      </c>
      <c r="J6" s="73">
        <f t="shared" si="0"/>
        <v>68600</v>
      </c>
      <c r="K6" s="73">
        <f t="shared" si="0"/>
        <v>92300</v>
      </c>
      <c r="L6" s="73">
        <f t="shared" si="0"/>
        <v>135200</v>
      </c>
      <c r="M6" s="73">
        <f t="shared" si="0"/>
        <v>127600</v>
      </c>
      <c r="N6" s="73">
        <f t="shared" si="0"/>
        <v>116500</v>
      </c>
      <c r="O6" s="74">
        <f>SUM(C6:N6)</f>
        <v>1210000</v>
      </c>
      <c r="P6" s="75">
        <f>SUM(P5:P5)</f>
        <v>1210000</v>
      </c>
      <c r="Q6" s="1"/>
    </row>
    <row r="7" spans="1:32" hidden="1" x14ac:dyDescent="0.3">
      <c r="A7" s="54"/>
      <c r="B7" s="76" t="s">
        <v>60</v>
      </c>
      <c r="C7" s="77" t="e">
        <f>SUM(C$39+C$44)/#REF!</f>
        <v>#REF!</v>
      </c>
      <c r="D7" s="18" t="e">
        <f>SUM(D$39+D$44)/#REF!</f>
        <v>#REF!</v>
      </c>
      <c r="E7" s="18" t="e">
        <f>SUM(E$39+E$44)/#REF!</f>
        <v>#REF!</v>
      </c>
      <c r="F7" s="18" t="e">
        <f>SUM(F$39+F$44)/#REF!</f>
        <v>#REF!</v>
      </c>
      <c r="G7" s="18" t="e">
        <f>SUM(G$39+G$44)/#REF!</f>
        <v>#REF!</v>
      </c>
      <c r="H7" s="18" t="e">
        <f>SUM(H$39+H$44)/#REF!</f>
        <v>#REF!</v>
      </c>
      <c r="I7" s="18" t="e">
        <f>SUM(I$39+I$44)/#REF!</f>
        <v>#REF!</v>
      </c>
      <c r="J7" s="18" t="e">
        <f>SUM(J$39+J$44)/#REF!</f>
        <v>#REF!</v>
      </c>
      <c r="K7" s="18" t="e">
        <f>SUM(K$39+K$44)/#REF!</f>
        <v>#REF!</v>
      </c>
      <c r="L7" s="18" t="e">
        <f>SUM(L$39+L$44)/#REF!</f>
        <v>#REF!</v>
      </c>
      <c r="M7" s="18" t="e">
        <f>SUM(M$39+M$44)/#REF!</f>
        <v>#REF!</v>
      </c>
      <c r="N7" s="18" t="e">
        <f>SUM(N$39+N$44)/#REF!</f>
        <v>#REF!</v>
      </c>
      <c r="O7" s="19" t="e">
        <f>SUM(O$39+O$44)/#REF!</f>
        <v>#REF!</v>
      </c>
      <c r="P7" s="78" t="e">
        <f>SUM(P$39+P$44)/#REF!</f>
        <v>#REF!</v>
      </c>
      <c r="Q7" s="20"/>
    </row>
    <row r="8" spans="1:32" x14ac:dyDescent="0.3">
      <c r="A8" s="17"/>
      <c r="B8" s="79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  <c r="Q8" s="4"/>
    </row>
    <row r="9" spans="1:32" x14ac:dyDescent="0.3">
      <c r="A9" s="16"/>
      <c r="B9" s="80" t="s">
        <v>61</v>
      </c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7"/>
      <c r="P9" s="8"/>
      <c r="Q9" s="2"/>
    </row>
    <row r="10" spans="1:32" x14ac:dyDescent="0.3">
      <c r="A10" s="16">
        <v>5110</v>
      </c>
      <c r="B10" s="81" t="s">
        <v>62</v>
      </c>
      <c r="C10" s="68">
        <v>62550</v>
      </c>
      <c r="D10" s="68">
        <v>51000</v>
      </c>
      <c r="E10" s="68">
        <v>23100</v>
      </c>
      <c r="F10" s="68">
        <v>18250</v>
      </c>
      <c r="G10" s="68">
        <v>9600</v>
      </c>
      <c r="H10" s="68">
        <v>13250</v>
      </c>
      <c r="I10" s="68">
        <v>30550</v>
      </c>
      <c r="J10" s="68">
        <v>68500</v>
      </c>
      <c r="K10" s="68">
        <v>86400</v>
      </c>
      <c r="L10" s="68">
        <v>23400</v>
      </c>
      <c r="M10" s="68">
        <v>48500</v>
      </c>
      <c r="N10" s="68">
        <v>39700</v>
      </c>
      <c r="O10" s="82">
        <f>SUM(C10:N10)</f>
        <v>474800</v>
      </c>
      <c r="P10" s="70">
        <f>SUM(O10)</f>
        <v>474800</v>
      </c>
      <c r="Q10" s="1"/>
    </row>
    <row r="11" spans="1:32" x14ac:dyDescent="0.3">
      <c r="A11" s="16">
        <v>5120</v>
      </c>
      <c r="B11" s="81" t="s">
        <v>63</v>
      </c>
      <c r="C11" s="83">
        <f t="shared" ref="C11:J11" si="1">SUM($P11*C$4)</f>
        <v>7215</v>
      </c>
      <c r="D11" s="83">
        <f t="shared" si="1"/>
        <v>2220</v>
      </c>
      <c r="E11" s="83">
        <f t="shared" si="1"/>
        <v>4440</v>
      </c>
      <c r="F11" s="83">
        <f t="shared" si="1"/>
        <v>2775</v>
      </c>
      <c r="G11" s="83">
        <f t="shared" si="1"/>
        <v>2220</v>
      </c>
      <c r="H11" s="83">
        <f t="shared" si="1"/>
        <v>2775</v>
      </c>
      <c r="I11" s="83">
        <f t="shared" si="1"/>
        <v>3885.0000000000005</v>
      </c>
      <c r="J11" s="83">
        <f t="shared" si="1"/>
        <v>5550</v>
      </c>
      <c r="K11" s="83">
        <v>5330</v>
      </c>
      <c r="L11" s="83">
        <v>7435</v>
      </c>
      <c r="M11" s="83">
        <f>SUM($P11*M$4)</f>
        <v>8880</v>
      </c>
      <c r="N11" s="83">
        <f>SUM($P11*N$4)</f>
        <v>2775</v>
      </c>
      <c r="O11" s="82">
        <f>SUM(C11:N11)</f>
        <v>55500</v>
      </c>
      <c r="P11" s="70">
        <v>55500</v>
      </c>
      <c r="Q11" s="1"/>
    </row>
    <row r="12" spans="1:32" x14ac:dyDescent="0.3">
      <c r="A12" s="16">
        <v>5140</v>
      </c>
      <c r="B12" s="81" t="s">
        <v>64</v>
      </c>
      <c r="C12" s="83">
        <v>9630</v>
      </c>
      <c r="D12" s="83">
        <v>10300</v>
      </c>
      <c r="E12" s="83">
        <v>6400</v>
      </c>
      <c r="F12" s="83">
        <v>5280</v>
      </c>
      <c r="G12" s="83">
        <v>7740</v>
      </c>
      <c r="H12" s="83">
        <v>5300</v>
      </c>
      <c r="I12" s="83">
        <v>3250</v>
      </c>
      <c r="J12" s="83">
        <v>7550</v>
      </c>
      <c r="K12" s="83">
        <v>12600</v>
      </c>
      <c r="L12" s="83">
        <v>10670</v>
      </c>
      <c r="M12" s="83">
        <v>8200</v>
      </c>
      <c r="N12" s="83">
        <v>9750</v>
      </c>
      <c r="O12" s="82">
        <f>SUM(C12:N12)</f>
        <v>96670</v>
      </c>
      <c r="P12" s="70">
        <f>SUM(C12:N12)</f>
        <v>96670</v>
      </c>
      <c r="Q12" s="1"/>
    </row>
    <row r="13" spans="1:32" x14ac:dyDescent="0.3">
      <c r="A13" s="16">
        <v>5160</v>
      </c>
      <c r="B13" t="s">
        <v>65</v>
      </c>
      <c r="C13" s="83">
        <f>SUM($P13*C$4)</f>
        <v>6305</v>
      </c>
      <c r="D13" s="83">
        <f>SUM($P13*D$4)</f>
        <v>1940</v>
      </c>
      <c r="E13" s="83">
        <f>SUM($P13*E$4)</f>
        <v>3880</v>
      </c>
      <c r="F13" s="83">
        <v>1425</v>
      </c>
      <c r="G13" s="83">
        <v>2840</v>
      </c>
      <c r="H13" s="83">
        <v>3395</v>
      </c>
      <c r="I13" s="83">
        <v>2525</v>
      </c>
      <c r="J13" s="83">
        <f>SUM($P13*J$4)</f>
        <v>4850</v>
      </c>
      <c r="K13" s="83">
        <f>SUM($P13*K$4)</f>
        <v>2910</v>
      </c>
      <c r="L13" s="83">
        <f>SUM($P13*L$4)</f>
        <v>8245</v>
      </c>
      <c r="M13" s="83">
        <f>SUM($P13*M$4)</f>
        <v>7760</v>
      </c>
      <c r="N13" s="83">
        <f>SUM($P13*N$4)</f>
        <v>2425</v>
      </c>
      <c r="O13" s="82">
        <f>SUM(C13:N13)</f>
        <v>48500</v>
      </c>
      <c r="P13" s="84">
        <v>48500</v>
      </c>
      <c r="Q13" s="1"/>
    </row>
    <row r="14" spans="1:32" x14ac:dyDescent="0.3">
      <c r="A14" s="16"/>
      <c r="B14" s="85" t="s">
        <v>66</v>
      </c>
      <c r="C14" s="86">
        <f t="shared" ref="C14:N14" si="2">SUM(C10:C13)</f>
        <v>85700</v>
      </c>
      <c r="D14" s="86">
        <f t="shared" si="2"/>
        <v>65460</v>
      </c>
      <c r="E14" s="86">
        <f t="shared" si="2"/>
        <v>37820</v>
      </c>
      <c r="F14" s="86">
        <f t="shared" si="2"/>
        <v>27730</v>
      </c>
      <c r="G14" s="86">
        <f t="shared" si="2"/>
        <v>22400</v>
      </c>
      <c r="H14" s="86">
        <f t="shared" si="2"/>
        <v>24720</v>
      </c>
      <c r="I14" s="86">
        <f t="shared" si="2"/>
        <v>40210</v>
      </c>
      <c r="J14" s="86">
        <f t="shared" si="2"/>
        <v>86450</v>
      </c>
      <c r="K14" s="86">
        <f t="shared" si="2"/>
        <v>107240</v>
      </c>
      <c r="L14" s="86">
        <f t="shared" si="2"/>
        <v>49750</v>
      </c>
      <c r="M14" s="86">
        <f t="shared" si="2"/>
        <v>73340</v>
      </c>
      <c r="N14" s="86">
        <f t="shared" si="2"/>
        <v>54650</v>
      </c>
      <c r="O14" s="87"/>
      <c r="P14" s="75">
        <f>SUM(P10:P13)</f>
        <v>675470</v>
      </c>
      <c r="Q14" s="1"/>
    </row>
    <row r="15" spans="1:32" x14ac:dyDescent="0.3">
      <c r="A15" s="17"/>
      <c r="B15" s="88" t="s">
        <v>67</v>
      </c>
      <c r="C15" s="89">
        <f t="shared" ref="C15:P15" si="3">SUM(C6-C14)</f>
        <v>41900</v>
      </c>
      <c r="D15" s="89">
        <f t="shared" si="3"/>
        <v>48740</v>
      </c>
      <c r="E15" s="89">
        <f t="shared" si="3"/>
        <v>60780</v>
      </c>
      <c r="F15" s="89">
        <f t="shared" si="3"/>
        <v>58770</v>
      </c>
      <c r="G15" s="89">
        <f t="shared" si="3"/>
        <v>65500</v>
      </c>
      <c r="H15" s="89">
        <f t="shared" si="3"/>
        <v>53880</v>
      </c>
      <c r="I15" s="89">
        <f t="shared" si="3"/>
        <v>36190</v>
      </c>
      <c r="J15" s="89">
        <f t="shared" si="3"/>
        <v>-17850</v>
      </c>
      <c r="K15" s="89">
        <f t="shared" si="3"/>
        <v>-14940</v>
      </c>
      <c r="L15" s="89">
        <f t="shared" si="3"/>
        <v>85450</v>
      </c>
      <c r="M15" s="89">
        <f t="shared" si="3"/>
        <v>54260</v>
      </c>
      <c r="N15" s="89">
        <f t="shared" si="3"/>
        <v>61850</v>
      </c>
      <c r="O15" s="89">
        <f t="shared" si="3"/>
        <v>1210000</v>
      </c>
      <c r="P15" s="89">
        <f t="shared" si="3"/>
        <v>534530</v>
      </c>
      <c r="Q15" s="4"/>
    </row>
    <row r="16" spans="1:32" x14ac:dyDescent="0.3">
      <c r="A16" s="24"/>
      <c r="B16" s="90" t="s">
        <v>68</v>
      </c>
      <c r="C16" s="91">
        <f t="shared" ref="C16:P16" si="4">C15/C5</f>
        <v>0.32836990595611287</v>
      </c>
      <c r="D16" s="91">
        <f t="shared" si="4"/>
        <v>0.42679509632224166</v>
      </c>
      <c r="E16" s="91">
        <f t="shared" si="4"/>
        <v>0.61643002028397564</v>
      </c>
      <c r="F16" s="91">
        <f t="shared" si="4"/>
        <v>0.6794219653179191</v>
      </c>
      <c r="G16" s="91">
        <f t="shared" si="4"/>
        <v>0.74516496018202505</v>
      </c>
      <c r="H16" s="91">
        <f t="shared" si="4"/>
        <v>0.68549618320610683</v>
      </c>
      <c r="I16" s="91">
        <f t="shared" si="4"/>
        <v>0.47369109947643978</v>
      </c>
      <c r="J16" s="91">
        <f t="shared" si="4"/>
        <v>-0.26020408163265307</v>
      </c>
      <c r="K16" s="91">
        <f t="shared" si="4"/>
        <v>-0.161863488624052</v>
      </c>
      <c r="L16" s="91">
        <f t="shared" si="4"/>
        <v>0.63202662721893488</v>
      </c>
      <c r="M16" s="91">
        <f t="shared" si="4"/>
        <v>0.42523510971786832</v>
      </c>
      <c r="N16" s="91">
        <f t="shared" si="4"/>
        <v>0.53090128755364807</v>
      </c>
      <c r="O16" s="91">
        <f t="shared" si="4"/>
        <v>1</v>
      </c>
      <c r="P16" s="91">
        <f t="shared" si="4"/>
        <v>0.44176033057851238</v>
      </c>
      <c r="Q16" s="10"/>
    </row>
    <row r="17" spans="1:17" x14ac:dyDescent="0.3">
      <c r="A17" s="24"/>
      <c r="B17" s="5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"/>
    </row>
    <row r="18" spans="1:17" x14ac:dyDescent="0.3">
      <c r="A18" s="23"/>
      <c r="B18" s="71" t="s">
        <v>69</v>
      </c>
      <c r="C18" s="9"/>
      <c r="D18" s="5"/>
      <c r="E18" s="5"/>
      <c r="F18" s="5"/>
      <c r="G18" s="5"/>
      <c r="H18" s="6"/>
      <c r="I18" s="6"/>
      <c r="J18" s="6"/>
      <c r="K18" s="6"/>
      <c r="L18" s="6"/>
      <c r="M18" s="6"/>
      <c r="N18" s="6"/>
      <c r="O18" s="6"/>
      <c r="P18" s="8"/>
      <c r="Q18" s="2"/>
    </row>
    <row r="19" spans="1:17" x14ac:dyDescent="0.3">
      <c r="A19" s="23">
        <v>6110</v>
      </c>
      <c r="B19" s="92" t="s">
        <v>70</v>
      </c>
      <c r="C19" s="93">
        <v>3667</v>
      </c>
      <c r="D19" s="94">
        <v>3667</v>
      </c>
      <c r="E19" s="94">
        <v>3667</v>
      </c>
      <c r="F19" s="94">
        <v>3667</v>
      </c>
      <c r="G19" s="94">
        <v>3667</v>
      </c>
      <c r="H19" s="94">
        <v>3667</v>
      </c>
      <c r="I19" s="94">
        <v>3667</v>
      </c>
      <c r="J19" s="94">
        <v>3667</v>
      </c>
      <c r="K19" s="94">
        <v>3667</v>
      </c>
      <c r="L19" s="94">
        <v>3667</v>
      </c>
      <c r="M19" s="94">
        <v>3667</v>
      </c>
      <c r="N19" s="94">
        <v>3667</v>
      </c>
      <c r="O19" s="82">
        <f t="shared" ref="O19:O38" si="5">SUM(C19:N19)</f>
        <v>44004</v>
      </c>
      <c r="P19" s="70">
        <v>44004</v>
      </c>
      <c r="Q19" s="95"/>
    </row>
    <row r="20" spans="1:17" x14ac:dyDescent="0.3">
      <c r="A20" s="16">
        <v>6120</v>
      </c>
      <c r="B20" s="96" t="s">
        <v>71</v>
      </c>
      <c r="C20" s="83">
        <f t="shared" ref="C20:N20" si="6">SUM($P20*C$4)</f>
        <v>910</v>
      </c>
      <c r="D20" s="83">
        <f t="shared" si="6"/>
        <v>280</v>
      </c>
      <c r="E20" s="83">
        <f t="shared" si="6"/>
        <v>560</v>
      </c>
      <c r="F20" s="83">
        <f t="shared" si="6"/>
        <v>350</v>
      </c>
      <c r="G20" s="83">
        <f t="shared" si="6"/>
        <v>280</v>
      </c>
      <c r="H20" s="83">
        <f t="shared" si="6"/>
        <v>350</v>
      </c>
      <c r="I20" s="83">
        <f t="shared" si="6"/>
        <v>490.00000000000006</v>
      </c>
      <c r="J20" s="83">
        <f t="shared" si="6"/>
        <v>700</v>
      </c>
      <c r="K20" s="83">
        <f t="shared" si="6"/>
        <v>420</v>
      </c>
      <c r="L20" s="83">
        <f t="shared" si="6"/>
        <v>1190</v>
      </c>
      <c r="M20" s="83">
        <f t="shared" si="6"/>
        <v>1120</v>
      </c>
      <c r="N20" s="83">
        <f t="shared" si="6"/>
        <v>350</v>
      </c>
      <c r="O20" s="82">
        <f t="shared" si="5"/>
        <v>7000</v>
      </c>
      <c r="P20" s="70">
        <v>7000</v>
      </c>
      <c r="Q20" s="1"/>
    </row>
    <row r="21" spans="1:17" x14ac:dyDescent="0.3">
      <c r="A21" s="16">
        <v>6130</v>
      </c>
      <c r="B21" s="97" t="s">
        <v>72</v>
      </c>
      <c r="C21" s="94">
        <v>120</v>
      </c>
      <c r="D21" s="94">
        <v>160</v>
      </c>
      <c r="E21" s="94">
        <v>230</v>
      </c>
      <c r="F21" s="94">
        <v>270</v>
      </c>
      <c r="G21" s="94">
        <v>290</v>
      </c>
      <c r="H21" s="94">
        <v>350</v>
      </c>
      <c r="I21" s="94">
        <v>470</v>
      </c>
      <c r="J21" s="94">
        <v>750</v>
      </c>
      <c r="K21" s="94">
        <v>1100</v>
      </c>
      <c r="L21" s="94">
        <v>3100</v>
      </c>
      <c r="M21" s="94">
        <v>2130</v>
      </c>
      <c r="N21" s="94">
        <v>2030</v>
      </c>
      <c r="O21" s="82">
        <f t="shared" si="5"/>
        <v>11000</v>
      </c>
      <c r="P21" s="70">
        <f>SUM(C21:N21)</f>
        <v>11000</v>
      </c>
      <c r="Q21" s="1"/>
    </row>
    <row r="22" spans="1:17" x14ac:dyDescent="0.3">
      <c r="A22" s="16">
        <v>6140</v>
      </c>
      <c r="B22" s="97" t="s">
        <v>73</v>
      </c>
      <c r="C22" s="94">
        <f t="shared" ref="C22:N22" si="7">$P22/12</f>
        <v>1083.3333333333333</v>
      </c>
      <c r="D22" s="94">
        <f t="shared" si="7"/>
        <v>1083.3333333333333</v>
      </c>
      <c r="E22" s="94">
        <f t="shared" si="7"/>
        <v>1083.3333333333333</v>
      </c>
      <c r="F22" s="94">
        <f t="shared" si="7"/>
        <v>1083.3333333333333</v>
      </c>
      <c r="G22" s="94">
        <f t="shared" si="7"/>
        <v>1083.3333333333333</v>
      </c>
      <c r="H22" s="94">
        <f t="shared" si="7"/>
        <v>1083.3333333333333</v>
      </c>
      <c r="I22" s="94">
        <f t="shared" si="7"/>
        <v>1083.3333333333333</v>
      </c>
      <c r="J22" s="94">
        <f t="shared" si="7"/>
        <v>1083.3333333333333</v>
      </c>
      <c r="K22" s="94">
        <f t="shared" si="7"/>
        <v>1083.3333333333333</v>
      </c>
      <c r="L22" s="94">
        <f t="shared" si="7"/>
        <v>1083.3333333333333</v>
      </c>
      <c r="M22" s="94">
        <f t="shared" si="7"/>
        <v>1083.3333333333333</v>
      </c>
      <c r="N22" s="94">
        <f t="shared" si="7"/>
        <v>1083.3333333333333</v>
      </c>
      <c r="O22" s="82">
        <f t="shared" si="5"/>
        <v>13000.000000000002</v>
      </c>
      <c r="P22" s="70">
        <v>13000</v>
      </c>
      <c r="Q22" s="1"/>
    </row>
    <row r="23" spans="1:17" x14ac:dyDescent="0.3">
      <c r="A23" s="16">
        <v>6150</v>
      </c>
      <c r="B23" s="97" t="s">
        <v>74</v>
      </c>
      <c r="C23" s="94">
        <v>1250</v>
      </c>
      <c r="D23" s="94">
        <v>1150</v>
      </c>
      <c r="E23" s="94">
        <v>1150</v>
      </c>
      <c r="F23" s="94">
        <v>850</v>
      </c>
      <c r="G23" s="94">
        <v>700</v>
      </c>
      <c r="H23" s="94">
        <v>1050</v>
      </c>
      <c r="I23" s="94">
        <v>1300</v>
      </c>
      <c r="J23" s="94">
        <v>1350</v>
      </c>
      <c r="K23" s="94">
        <v>1000</v>
      </c>
      <c r="L23" s="94">
        <v>900</v>
      </c>
      <c r="M23" s="94">
        <v>1100</v>
      </c>
      <c r="N23" s="94">
        <v>1200</v>
      </c>
      <c r="O23" s="82">
        <f t="shared" si="5"/>
        <v>13000</v>
      </c>
      <c r="P23" s="70">
        <v>13000</v>
      </c>
      <c r="Q23" s="1"/>
    </row>
    <row r="24" spans="1:17" x14ac:dyDescent="0.3">
      <c r="A24" s="16">
        <v>6160</v>
      </c>
      <c r="B24" s="97" t="s">
        <v>75</v>
      </c>
      <c r="C24" s="94">
        <v>1200</v>
      </c>
      <c r="D24" s="94">
        <v>800</v>
      </c>
      <c r="E24" s="94">
        <v>900</v>
      </c>
      <c r="F24" s="94">
        <v>1100</v>
      </c>
      <c r="G24" s="94">
        <v>500</v>
      </c>
      <c r="H24" s="94">
        <v>1500</v>
      </c>
      <c r="I24" s="94">
        <f>$P24/12</f>
        <v>1000</v>
      </c>
      <c r="J24" s="94">
        <f>$P24/12</f>
        <v>1000</v>
      </c>
      <c r="K24" s="94">
        <v>700</v>
      </c>
      <c r="L24" s="94">
        <v>1300</v>
      </c>
      <c r="M24" s="94">
        <v>1100</v>
      </c>
      <c r="N24" s="94">
        <v>900</v>
      </c>
      <c r="O24" s="82">
        <f t="shared" si="5"/>
        <v>12000</v>
      </c>
      <c r="P24" s="70">
        <v>12000</v>
      </c>
      <c r="Q24" s="1"/>
    </row>
    <row r="25" spans="1:17" x14ac:dyDescent="0.3">
      <c r="A25" s="16">
        <v>6170</v>
      </c>
      <c r="B25" s="81" t="s">
        <v>76</v>
      </c>
      <c r="C25" s="83">
        <f t="shared" ref="C25:N25" si="8">SUM($P25*C$4)</f>
        <v>2470</v>
      </c>
      <c r="D25" s="83">
        <f t="shared" si="8"/>
        <v>760</v>
      </c>
      <c r="E25" s="83">
        <f t="shared" si="8"/>
        <v>1520</v>
      </c>
      <c r="F25" s="83">
        <f t="shared" si="8"/>
        <v>950</v>
      </c>
      <c r="G25" s="83">
        <f t="shared" si="8"/>
        <v>760</v>
      </c>
      <c r="H25" s="83">
        <f t="shared" si="8"/>
        <v>950</v>
      </c>
      <c r="I25" s="83">
        <f t="shared" si="8"/>
        <v>1330.0000000000002</v>
      </c>
      <c r="J25" s="83">
        <f t="shared" si="8"/>
        <v>1900</v>
      </c>
      <c r="K25" s="83">
        <f t="shared" si="8"/>
        <v>1140</v>
      </c>
      <c r="L25" s="83">
        <f t="shared" si="8"/>
        <v>3230.0000000000005</v>
      </c>
      <c r="M25" s="83">
        <f t="shared" si="8"/>
        <v>3040</v>
      </c>
      <c r="N25" s="83">
        <f t="shared" si="8"/>
        <v>950</v>
      </c>
      <c r="O25" s="82">
        <f t="shared" si="5"/>
        <v>19000</v>
      </c>
      <c r="P25" s="70">
        <v>19000</v>
      </c>
      <c r="Q25" s="1"/>
    </row>
    <row r="26" spans="1:17" x14ac:dyDescent="0.3">
      <c r="A26" s="16">
        <v>6180</v>
      </c>
      <c r="B26" s="97" t="s">
        <v>77</v>
      </c>
      <c r="C26" s="94">
        <f t="shared" ref="C26:N27" si="9">$P26/12</f>
        <v>250</v>
      </c>
      <c r="D26" s="94">
        <f t="shared" si="9"/>
        <v>250</v>
      </c>
      <c r="E26" s="94">
        <f t="shared" si="9"/>
        <v>250</v>
      </c>
      <c r="F26" s="94">
        <f t="shared" si="9"/>
        <v>250</v>
      </c>
      <c r="G26" s="94">
        <f t="shared" si="9"/>
        <v>250</v>
      </c>
      <c r="H26" s="94">
        <f t="shared" si="9"/>
        <v>250</v>
      </c>
      <c r="I26" s="94">
        <f t="shared" si="9"/>
        <v>250</v>
      </c>
      <c r="J26" s="94">
        <f t="shared" si="9"/>
        <v>250</v>
      </c>
      <c r="K26" s="94">
        <f t="shared" si="9"/>
        <v>250</v>
      </c>
      <c r="L26" s="94">
        <f t="shared" si="9"/>
        <v>250</v>
      </c>
      <c r="M26" s="94">
        <f t="shared" si="9"/>
        <v>250</v>
      </c>
      <c r="N26" s="94">
        <f t="shared" si="9"/>
        <v>250</v>
      </c>
      <c r="O26" s="82">
        <f t="shared" si="5"/>
        <v>3000</v>
      </c>
      <c r="P26" s="70">
        <v>3000</v>
      </c>
      <c r="Q26" s="1"/>
    </row>
    <row r="27" spans="1:17" x14ac:dyDescent="0.3">
      <c r="A27" s="16">
        <v>6190</v>
      </c>
      <c r="B27" s="97" t="s">
        <v>78</v>
      </c>
      <c r="C27" s="94">
        <f t="shared" si="9"/>
        <v>250</v>
      </c>
      <c r="D27" s="94">
        <f t="shared" si="9"/>
        <v>250</v>
      </c>
      <c r="E27" s="94">
        <f t="shared" si="9"/>
        <v>250</v>
      </c>
      <c r="F27" s="94">
        <f t="shared" si="9"/>
        <v>250</v>
      </c>
      <c r="G27" s="94">
        <f t="shared" si="9"/>
        <v>250</v>
      </c>
      <c r="H27" s="94">
        <f t="shared" si="9"/>
        <v>250</v>
      </c>
      <c r="I27" s="94">
        <f t="shared" si="9"/>
        <v>250</v>
      </c>
      <c r="J27" s="94">
        <f t="shared" si="9"/>
        <v>250</v>
      </c>
      <c r="K27" s="94">
        <f t="shared" si="9"/>
        <v>250</v>
      </c>
      <c r="L27" s="94">
        <f t="shared" si="9"/>
        <v>250</v>
      </c>
      <c r="M27" s="94">
        <f t="shared" si="9"/>
        <v>250</v>
      </c>
      <c r="N27" s="94">
        <f t="shared" si="9"/>
        <v>250</v>
      </c>
      <c r="O27" s="82">
        <f t="shared" si="5"/>
        <v>3000</v>
      </c>
      <c r="P27" s="70">
        <v>3000</v>
      </c>
      <c r="Q27" s="1"/>
    </row>
    <row r="28" spans="1:17" x14ac:dyDescent="0.3">
      <c r="A28" s="16">
        <v>6200</v>
      </c>
      <c r="B28" s="98" t="s">
        <v>79</v>
      </c>
      <c r="C28" s="83">
        <v>8100</v>
      </c>
      <c r="D28" s="83">
        <v>7300</v>
      </c>
      <c r="E28" s="83">
        <v>7900</v>
      </c>
      <c r="F28" s="83">
        <v>16800</v>
      </c>
      <c r="G28" s="83">
        <v>7200</v>
      </c>
      <c r="H28" s="83">
        <v>8100</v>
      </c>
      <c r="I28" s="83">
        <v>8800</v>
      </c>
      <c r="J28" s="83">
        <v>7200</v>
      </c>
      <c r="K28" s="83">
        <v>8100</v>
      </c>
      <c r="L28" s="83">
        <v>20300</v>
      </c>
      <c r="M28" s="83">
        <v>12600</v>
      </c>
      <c r="N28" s="83">
        <v>7600</v>
      </c>
      <c r="O28" s="82">
        <f t="shared" si="5"/>
        <v>120000</v>
      </c>
      <c r="P28" s="70">
        <f>SUM(C28:N28)</f>
        <v>120000</v>
      </c>
      <c r="Q28" s="1"/>
    </row>
    <row r="29" spans="1:17" x14ac:dyDescent="0.3">
      <c r="A29" s="16">
        <v>6210</v>
      </c>
      <c r="B29" s="81" t="s">
        <v>80</v>
      </c>
      <c r="C29" s="83">
        <f>SUM($P29*C$4)</f>
        <v>1300</v>
      </c>
      <c r="D29" s="83">
        <f>SUM($P29*D$4)</f>
        <v>400</v>
      </c>
      <c r="E29" s="83">
        <f>SUM($P29*E$4)</f>
        <v>800</v>
      </c>
      <c r="F29" s="83">
        <v>900</v>
      </c>
      <c r="G29" s="83">
        <v>0</v>
      </c>
      <c r="H29" s="83">
        <f>SUM($P29*H$4)</f>
        <v>500</v>
      </c>
      <c r="I29" s="83">
        <f>SUM($P29*I$4)</f>
        <v>700.00000000000011</v>
      </c>
      <c r="J29" s="83">
        <v>200</v>
      </c>
      <c r="K29" s="83">
        <v>1400</v>
      </c>
      <c r="L29" s="83">
        <f>SUM($P29*L$4)</f>
        <v>1700.0000000000002</v>
      </c>
      <c r="M29" s="83">
        <f>SUM($P29*M$4)</f>
        <v>1600</v>
      </c>
      <c r="N29" s="83">
        <f>SUM($P29*N$4)</f>
        <v>500</v>
      </c>
      <c r="O29" s="82">
        <f t="shared" si="5"/>
        <v>10000</v>
      </c>
      <c r="P29" s="70">
        <v>10000</v>
      </c>
      <c r="Q29" s="1"/>
    </row>
    <row r="30" spans="1:17" x14ac:dyDescent="0.3">
      <c r="A30" s="16">
        <v>6220</v>
      </c>
      <c r="B30" s="99" t="s">
        <v>81</v>
      </c>
      <c r="C30" s="94">
        <f t="shared" ref="C30:N30" si="10">$P30/12</f>
        <v>4166.666666666667</v>
      </c>
      <c r="D30" s="94">
        <f t="shared" si="10"/>
        <v>4166.666666666667</v>
      </c>
      <c r="E30" s="94">
        <f t="shared" si="10"/>
        <v>4166.666666666667</v>
      </c>
      <c r="F30" s="94">
        <f t="shared" si="10"/>
        <v>4166.666666666667</v>
      </c>
      <c r="G30" s="94">
        <f t="shared" si="10"/>
        <v>4166.666666666667</v>
      </c>
      <c r="H30" s="94">
        <f t="shared" si="10"/>
        <v>4166.666666666667</v>
      </c>
      <c r="I30" s="94">
        <f t="shared" si="10"/>
        <v>4166.666666666667</v>
      </c>
      <c r="J30" s="94">
        <f t="shared" si="10"/>
        <v>4166.666666666667</v>
      </c>
      <c r="K30" s="94">
        <f t="shared" si="10"/>
        <v>4166.666666666667</v>
      </c>
      <c r="L30" s="94">
        <f t="shared" si="10"/>
        <v>4166.666666666667</v>
      </c>
      <c r="M30" s="94">
        <f t="shared" si="10"/>
        <v>4166.666666666667</v>
      </c>
      <c r="N30" s="94">
        <f t="shared" si="10"/>
        <v>4166.666666666667</v>
      </c>
      <c r="O30" s="82">
        <f t="shared" si="5"/>
        <v>49999.999999999993</v>
      </c>
      <c r="P30" s="70">
        <v>50000</v>
      </c>
      <c r="Q30" s="1"/>
    </row>
    <row r="31" spans="1:17" x14ac:dyDescent="0.3">
      <c r="A31" s="16">
        <v>6230</v>
      </c>
      <c r="B31" s="97" t="s">
        <v>82</v>
      </c>
      <c r="C31" s="94">
        <f t="shared" ref="C31:N31" si="11">SUM(C28:C30)*0.0643</f>
        <v>872.3366666666667</v>
      </c>
      <c r="D31" s="94">
        <f t="shared" si="11"/>
        <v>763.02666666666664</v>
      </c>
      <c r="E31" s="94">
        <f t="shared" si="11"/>
        <v>827.32666666666671</v>
      </c>
      <c r="F31" s="94">
        <f t="shared" si="11"/>
        <v>1406.0266666666666</v>
      </c>
      <c r="G31" s="94">
        <f t="shared" si="11"/>
        <v>730.87666666666667</v>
      </c>
      <c r="H31" s="94">
        <f t="shared" si="11"/>
        <v>820.89666666666665</v>
      </c>
      <c r="I31" s="94">
        <f t="shared" si="11"/>
        <v>878.76666666666665</v>
      </c>
      <c r="J31" s="94">
        <f t="shared" si="11"/>
        <v>743.73666666666668</v>
      </c>
      <c r="K31" s="94">
        <f t="shared" si="11"/>
        <v>878.76666666666665</v>
      </c>
      <c r="L31" s="94">
        <f t="shared" si="11"/>
        <v>1682.5166666666667</v>
      </c>
      <c r="M31" s="94">
        <f t="shared" si="11"/>
        <v>1180.9766666666667</v>
      </c>
      <c r="N31" s="94">
        <f t="shared" si="11"/>
        <v>788.74666666666667</v>
      </c>
      <c r="O31" s="82">
        <f t="shared" si="5"/>
        <v>11574</v>
      </c>
      <c r="P31" s="70">
        <v>18004</v>
      </c>
      <c r="Q31" s="1"/>
    </row>
    <row r="32" spans="1:17" x14ac:dyDescent="0.3">
      <c r="A32" s="16">
        <v>6240</v>
      </c>
      <c r="B32" s="97" t="s">
        <v>83</v>
      </c>
      <c r="C32" s="94">
        <f t="shared" ref="C32:N33" si="12">$P32/12</f>
        <v>2250</v>
      </c>
      <c r="D32" s="94">
        <f t="shared" si="12"/>
        <v>2250</v>
      </c>
      <c r="E32" s="94">
        <f t="shared" si="12"/>
        <v>2250</v>
      </c>
      <c r="F32" s="94">
        <f t="shared" si="12"/>
        <v>2250</v>
      </c>
      <c r="G32" s="94">
        <f t="shared" si="12"/>
        <v>2250</v>
      </c>
      <c r="H32" s="94">
        <f t="shared" si="12"/>
        <v>2250</v>
      </c>
      <c r="I32" s="94">
        <f t="shared" si="12"/>
        <v>2250</v>
      </c>
      <c r="J32" s="94">
        <f t="shared" si="12"/>
        <v>2250</v>
      </c>
      <c r="K32" s="94">
        <f t="shared" si="12"/>
        <v>2250</v>
      </c>
      <c r="L32" s="94">
        <f t="shared" si="12"/>
        <v>2250</v>
      </c>
      <c r="M32" s="94">
        <f t="shared" si="12"/>
        <v>2250</v>
      </c>
      <c r="N32" s="94">
        <f t="shared" si="12"/>
        <v>2250</v>
      </c>
      <c r="O32" s="82">
        <f t="shared" si="5"/>
        <v>27000</v>
      </c>
      <c r="P32" s="70">
        <v>27000</v>
      </c>
      <c r="Q32" s="1"/>
    </row>
    <row r="33" spans="1:17" x14ac:dyDescent="0.3">
      <c r="A33" s="16">
        <v>6250</v>
      </c>
      <c r="B33" s="81" t="s">
        <v>84</v>
      </c>
      <c r="C33" s="94">
        <f t="shared" si="12"/>
        <v>400</v>
      </c>
      <c r="D33" s="94">
        <f t="shared" si="12"/>
        <v>400</v>
      </c>
      <c r="E33" s="94">
        <f t="shared" si="12"/>
        <v>400</v>
      </c>
      <c r="F33" s="94">
        <f t="shared" si="12"/>
        <v>400</v>
      </c>
      <c r="G33" s="94">
        <f t="shared" si="12"/>
        <v>400</v>
      </c>
      <c r="H33" s="94">
        <f t="shared" si="12"/>
        <v>400</v>
      </c>
      <c r="I33" s="94">
        <f t="shared" si="12"/>
        <v>400</v>
      </c>
      <c r="J33" s="94">
        <f t="shared" si="12"/>
        <v>400</v>
      </c>
      <c r="K33" s="94">
        <f t="shared" si="12"/>
        <v>400</v>
      </c>
      <c r="L33" s="94">
        <f t="shared" si="12"/>
        <v>400</v>
      </c>
      <c r="M33" s="94">
        <f t="shared" si="12"/>
        <v>400</v>
      </c>
      <c r="N33" s="94">
        <f t="shared" si="12"/>
        <v>400</v>
      </c>
      <c r="O33" s="82">
        <f t="shared" si="5"/>
        <v>4800</v>
      </c>
      <c r="P33" s="70">
        <v>4800</v>
      </c>
      <c r="Q33" s="1"/>
    </row>
    <row r="34" spans="1:17" x14ac:dyDescent="0.3">
      <c r="A34" s="16">
        <v>6260</v>
      </c>
      <c r="B34" s="81" t="s">
        <v>85</v>
      </c>
      <c r="C34" s="94">
        <v>0</v>
      </c>
      <c r="D34" s="94">
        <v>350</v>
      </c>
      <c r="E34" s="94">
        <v>1200</v>
      </c>
      <c r="F34" s="94">
        <v>750</v>
      </c>
      <c r="G34" s="94">
        <v>0</v>
      </c>
      <c r="H34" s="94">
        <v>600</v>
      </c>
      <c r="I34" s="94">
        <v>0</v>
      </c>
      <c r="J34" s="94">
        <v>0</v>
      </c>
      <c r="K34" s="94">
        <v>2800</v>
      </c>
      <c r="L34" s="94">
        <v>0</v>
      </c>
      <c r="M34" s="94">
        <v>300</v>
      </c>
      <c r="N34" s="94">
        <v>0</v>
      </c>
      <c r="O34" s="82">
        <f t="shared" si="5"/>
        <v>6000</v>
      </c>
      <c r="P34" s="70">
        <v>6000</v>
      </c>
      <c r="Q34" s="1"/>
    </row>
    <row r="35" spans="1:17" x14ac:dyDescent="0.3">
      <c r="A35" s="16">
        <v>6270</v>
      </c>
      <c r="B35" s="81" t="s">
        <v>86</v>
      </c>
      <c r="C35" s="83">
        <f t="shared" ref="C35:N35" si="13">SUM($P35*C$4)</f>
        <v>2210</v>
      </c>
      <c r="D35" s="83">
        <f t="shared" si="13"/>
        <v>680</v>
      </c>
      <c r="E35" s="83">
        <f t="shared" si="13"/>
        <v>1360</v>
      </c>
      <c r="F35" s="83">
        <f t="shared" si="13"/>
        <v>850</v>
      </c>
      <c r="G35" s="83">
        <f t="shared" si="13"/>
        <v>680</v>
      </c>
      <c r="H35" s="83">
        <f t="shared" si="13"/>
        <v>850</v>
      </c>
      <c r="I35" s="83">
        <f t="shared" si="13"/>
        <v>1190</v>
      </c>
      <c r="J35" s="83">
        <f t="shared" si="13"/>
        <v>1700</v>
      </c>
      <c r="K35" s="83">
        <f t="shared" si="13"/>
        <v>1020</v>
      </c>
      <c r="L35" s="83">
        <f t="shared" si="13"/>
        <v>2890</v>
      </c>
      <c r="M35" s="83">
        <f t="shared" si="13"/>
        <v>2720</v>
      </c>
      <c r="N35" s="83">
        <f t="shared" si="13"/>
        <v>850</v>
      </c>
      <c r="O35" s="82">
        <f t="shared" si="5"/>
        <v>17000</v>
      </c>
      <c r="P35" s="70">
        <v>17000</v>
      </c>
      <c r="Q35" s="1"/>
    </row>
    <row r="36" spans="1:17" x14ac:dyDescent="0.3">
      <c r="A36" s="16">
        <v>6280</v>
      </c>
      <c r="B36" s="97" t="s">
        <v>87</v>
      </c>
      <c r="C36" s="94">
        <f t="shared" ref="C36:N37" si="14">$P36/12</f>
        <v>1250</v>
      </c>
      <c r="D36" s="94">
        <f t="shared" si="14"/>
        <v>1250</v>
      </c>
      <c r="E36" s="94">
        <f t="shared" si="14"/>
        <v>1250</v>
      </c>
      <c r="F36" s="94">
        <f t="shared" si="14"/>
        <v>1250</v>
      </c>
      <c r="G36" s="94">
        <f t="shared" si="14"/>
        <v>1250</v>
      </c>
      <c r="H36" s="94">
        <f t="shared" si="14"/>
        <v>1250</v>
      </c>
      <c r="I36" s="94">
        <f t="shared" si="14"/>
        <v>1250</v>
      </c>
      <c r="J36" s="94">
        <f t="shared" si="14"/>
        <v>1250</v>
      </c>
      <c r="K36" s="94">
        <f t="shared" si="14"/>
        <v>1250</v>
      </c>
      <c r="L36" s="94">
        <f t="shared" si="14"/>
        <v>1250</v>
      </c>
      <c r="M36" s="94">
        <f t="shared" si="14"/>
        <v>1250</v>
      </c>
      <c r="N36" s="94">
        <f t="shared" si="14"/>
        <v>1250</v>
      </c>
      <c r="O36" s="82">
        <f t="shared" si="5"/>
        <v>15000</v>
      </c>
      <c r="P36" s="84">
        <v>15000</v>
      </c>
      <c r="Q36" s="1"/>
    </row>
    <row r="37" spans="1:17" x14ac:dyDescent="0.3">
      <c r="A37" s="16">
        <v>6290</v>
      </c>
      <c r="B37" s="97" t="s">
        <v>88</v>
      </c>
      <c r="C37" s="100">
        <f t="shared" si="14"/>
        <v>666.66666666666663</v>
      </c>
      <c r="D37" s="100">
        <f t="shared" si="14"/>
        <v>666.66666666666663</v>
      </c>
      <c r="E37" s="100">
        <f t="shared" si="14"/>
        <v>666.66666666666663</v>
      </c>
      <c r="F37" s="100">
        <f t="shared" si="14"/>
        <v>666.66666666666663</v>
      </c>
      <c r="G37" s="100">
        <f t="shared" si="14"/>
        <v>666.66666666666663</v>
      </c>
      <c r="H37" s="100">
        <f t="shared" si="14"/>
        <v>666.66666666666663</v>
      </c>
      <c r="I37" s="100">
        <f t="shared" si="14"/>
        <v>666.66666666666663</v>
      </c>
      <c r="J37" s="100">
        <f t="shared" si="14"/>
        <v>666.66666666666663</v>
      </c>
      <c r="K37" s="100">
        <f t="shared" si="14"/>
        <v>666.66666666666663</v>
      </c>
      <c r="L37" s="100">
        <f t="shared" si="14"/>
        <v>666.66666666666663</v>
      </c>
      <c r="M37" s="100">
        <f t="shared" si="14"/>
        <v>666.66666666666663</v>
      </c>
      <c r="N37" s="100">
        <f t="shared" si="14"/>
        <v>666.66666666666663</v>
      </c>
      <c r="O37" s="82">
        <f t="shared" si="5"/>
        <v>8000.0000000000009</v>
      </c>
      <c r="P37" s="70">
        <v>8000</v>
      </c>
      <c r="Q37" s="1"/>
    </row>
    <row r="38" spans="1:17" x14ac:dyDescent="0.3">
      <c r="A38" s="16">
        <v>6300</v>
      </c>
      <c r="B38" s="101" t="s">
        <v>89</v>
      </c>
      <c r="C38" s="102">
        <v>0</v>
      </c>
      <c r="D38" s="102">
        <v>0</v>
      </c>
      <c r="E38" s="102">
        <v>1700</v>
      </c>
      <c r="F38" s="102">
        <v>0</v>
      </c>
      <c r="G38" s="102">
        <v>0</v>
      </c>
      <c r="H38" s="102">
        <v>2800</v>
      </c>
      <c r="I38" s="102">
        <v>0</v>
      </c>
      <c r="J38" s="102">
        <v>0</v>
      </c>
      <c r="K38" s="102">
        <v>2500</v>
      </c>
      <c r="L38" s="102">
        <v>0</v>
      </c>
      <c r="M38" s="102">
        <v>0</v>
      </c>
      <c r="N38" s="102">
        <v>0</v>
      </c>
      <c r="O38" s="103">
        <f t="shared" si="5"/>
        <v>7000</v>
      </c>
      <c r="P38" s="70">
        <v>7000</v>
      </c>
      <c r="Q38" s="1"/>
    </row>
    <row r="39" spans="1:17" x14ac:dyDescent="0.3">
      <c r="A39" s="16"/>
      <c r="B39" s="104" t="s">
        <v>90</v>
      </c>
      <c r="C39" s="105">
        <f t="shared" ref="C39:P39" si="15">SUM(C19:C38)</f>
        <v>32416.003333333334</v>
      </c>
      <c r="D39" s="105">
        <f t="shared" si="15"/>
        <v>26626.693333333333</v>
      </c>
      <c r="E39" s="105">
        <f t="shared" si="15"/>
        <v>32130.993333333336</v>
      </c>
      <c r="F39" s="105">
        <f t="shared" si="15"/>
        <v>38209.693333333329</v>
      </c>
      <c r="G39" s="105">
        <f t="shared" si="15"/>
        <v>25124.543333333335</v>
      </c>
      <c r="H39" s="105">
        <f t="shared" si="15"/>
        <v>31854.563333333335</v>
      </c>
      <c r="I39" s="105">
        <f t="shared" si="15"/>
        <v>30142.433333333338</v>
      </c>
      <c r="J39" s="105">
        <f t="shared" si="15"/>
        <v>29527.403333333335</v>
      </c>
      <c r="K39" s="105">
        <f t="shared" si="15"/>
        <v>35042.433333333334</v>
      </c>
      <c r="L39" s="105">
        <f t="shared" si="15"/>
        <v>50276.183333333334</v>
      </c>
      <c r="M39" s="105">
        <f t="shared" si="15"/>
        <v>40874.643333333333</v>
      </c>
      <c r="N39" s="105">
        <f t="shared" si="15"/>
        <v>29152.413333333334</v>
      </c>
      <c r="O39" s="106">
        <f t="shared" si="15"/>
        <v>401378</v>
      </c>
      <c r="P39" s="75">
        <f t="shared" si="15"/>
        <v>407808</v>
      </c>
      <c r="Q39" s="1"/>
    </row>
    <row r="40" spans="1:17" x14ac:dyDescent="0.3">
      <c r="A40" s="23"/>
      <c r="B40" s="107" t="s">
        <v>91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9"/>
      <c r="Q40" s="1"/>
    </row>
    <row r="41" spans="1:17" x14ac:dyDescent="0.3">
      <c r="A41" s="23">
        <v>6310</v>
      </c>
      <c r="B41" s="110" t="s">
        <v>92</v>
      </c>
      <c r="C41" s="102">
        <f t="shared" ref="C41:N43" si="16">$P41/12</f>
        <v>1250</v>
      </c>
      <c r="D41" s="102">
        <f t="shared" si="16"/>
        <v>1250</v>
      </c>
      <c r="E41" s="102">
        <f t="shared" si="16"/>
        <v>1250</v>
      </c>
      <c r="F41" s="102">
        <f t="shared" si="16"/>
        <v>1250</v>
      </c>
      <c r="G41" s="102">
        <f t="shared" si="16"/>
        <v>1250</v>
      </c>
      <c r="H41" s="102">
        <f t="shared" si="16"/>
        <v>1250</v>
      </c>
      <c r="I41" s="102">
        <f t="shared" si="16"/>
        <v>1250</v>
      </c>
      <c r="J41" s="102">
        <f t="shared" si="16"/>
        <v>1250</v>
      </c>
      <c r="K41" s="102">
        <f t="shared" si="16"/>
        <v>1250</v>
      </c>
      <c r="L41" s="102">
        <f t="shared" si="16"/>
        <v>1250</v>
      </c>
      <c r="M41" s="102">
        <f t="shared" si="16"/>
        <v>1250</v>
      </c>
      <c r="N41" s="102">
        <f t="shared" si="16"/>
        <v>1250</v>
      </c>
      <c r="O41" s="111">
        <f>SUM(C41:N41)</f>
        <v>15000</v>
      </c>
      <c r="P41" s="70">
        <v>15000</v>
      </c>
      <c r="Q41" s="1"/>
    </row>
    <row r="42" spans="1:17" x14ac:dyDescent="0.3">
      <c r="A42" s="24">
        <v>6320</v>
      </c>
      <c r="B42" s="110" t="s">
        <v>93</v>
      </c>
      <c r="C42" s="102">
        <f t="shared" si="16"/>
        <v>2500</v>
      </c>
      <c r="D42" s="102">
        <f t="shared" si="16"/>
        <v>2500</v>
      </c>
      <c r="E42" s="102">
        <f t="shared" si="16"/>
        <v>2500</v>
      </c>
      <c r="F42" s="102">
        <f t="shared" si="16"/>
        <v>2500</v>
      </c>
      <c r="G42" s="102">
        <f t="shared" si="16"/>
        <v>2500</v>
      </c>
      <c r="H42" s="102">
        <f t="shared" si="16"/>
        <v>2500</v>
      </c>
      <c r="I42" s="102">
        <f t="shared" si="16"/>
        <v>2500</v>
      </c>
      <c r="J42" s="102">
        <f t="shared" si="16"/>
        <v>2500</v>
      </c>
      <c r="K42" s="102">
        <f t="shared" si="16"/>
        <v>2500</v>
      </c>
      <c r="L42" s="102">
        <f t="shared" si="16"/>
        <v>2500</v>
      </c>
      <c r="M42" s="102">
        <f t="shared" si="16"/>
        <v>2500</v>
      </c>
      <c r="N42" s="102">
        <f t="shared" si="16"/>
        <v>2500</v>
      </c>
      <c r="O42" s="111">
        <f>SUM(C42:N42)</f>
        <v>30000</v>
      </c>
      <c r="P42" s="70">
        <v>30000</v>
      </c>
      <c r="Q42" s="10"/>
    </row>
    <row r="43" spans="1:17" x14ac:dyDescent="0.3">
      <c r="A43" s="23">
        <v>6330</v>
      </c>
      <c r="B43" s="110" t="s">
        <v>94</v>
      </c>
      <c r="C43" s="102">
        <f t="shared" si="16"/>
        <v>1000</v>
      </c>
      <c r="D43" s="102">
        <f t="shared" si="16"/>
        <v>1000</v>
      </c>
      <c r="E43" s="102">
        <f t="shared" si="16"/>
        <v>1000</v>
      </c>
      <c r="F43" s="102">
        <f t="shared" si="16"/>
        <v>1000</v>
      </c>
      <c r="G43" s="102">
        <f t="shared" si="16"/>
        <v>1000</v>
      </c>
      <c r="H43" s="102">
        <f t="shared" si="16"/>
        <v>1000</v>
      </c>
      <c r="I43" s="102">
        <f t="shared" si="16"/>
        <v>1000</v>
      </c>
      <c r="J43" s="102">
        <f t="shared" si="16"/>
        <v>1000</v>
      </c>
      <c r="K43" s="102">
        <f t="shared" si="16"/>
        <v>1000</v>
      </c>
      <c r="L43" s="102">
        <f t="shared" si="16"/>
        <v>1000</v>
      </c>
      <c r="M43" s="102">
        <f t="shared" si="16"/>
        <v>1000</v>
      </c>
      <c r="N43" s="102">
        <f t="shared" si="16"/>
        <v>1000</v>
      </c>
      <c r="O43" s="111">
        <f>SUM(C43:N43)</f>
        <v>12000</v>
      </c>
      <c r="P43" s="70">
        <v>12000</v>
      </c>
      <c r="Q43" s="1"/>
    </row>
    <row r="44" spans="1:17" x14ac:dyDescent="0.3">
      <c r="A44" s="23"/>
      <c r="B44" s="112" t="s">
        <v>95</v>
      </c>
      <c r="C44" s="113">
        <f t="shared" ref="C44:P44" si="17">SUM(C41:C43)</f>
        <v>4750</v>
      </c>
      <c r="D44" s="113">
        <f t="shared" si="17"/>
        <v>4750</v>
      </c>
      <c r="E44" s="113">
        <f t="shared" si="17"/>
        <v>4750</v>
      </c>
      <c r="F44" s="113">
        <f t="shared" si="17"/>
        <v>4750</v>
      </c>
      <c r="G44" s="113">
        <f t="shared" si="17"/>
        <v>4750</v>
      </c>
      <c r="H44" s="113">
        <f t="shared" si="17"/>
        <v>4750</v>
      </c>
      <c r="I44" s="113">
        <f t="shared" si="17"/>
        <v>4750</v>
      </c>
      <c r="J44" s="113">
        <f t="shared" si="17"/>
        <v>4750</v>
      </c>
      <c r="K44" s="113">
        <f t="shared" si="17"/>
        <v>4750</v>
      </c>
      <c r="L44" s="113">
        <f t="shared" si="17"/>
        <v>4750</v>
      </c>
      <c r="M44" s="113">
        <f t="shared" si="17"/>
        <v>4750</v>
      </c>
      <c r="N44" s="113">
        <f t="shared" si="17"/>
        <v>4750</v>
      </c>
      <c r="O44" s="113">
        <f t="shared" si="17"/>
        <v>57000</v>
      </c>
      <c r="P44" s="114">
        <f t="shared" si="17"/>
        <v>57000</v>
      </c>
      <c r="Q44" s="1"/>
    </row>
    <row r="45" spans="1:17" x14ac:dyDescent="0.3">
      <c r="A45" s="23"/>
      <c r="B45" s="112" t="s">
        <v>96</v>
      </c>
      <c r="C45" s="114">
        <f t="shared" ref="C45:P45" si="18">SUM(C39+C44)</f>
        <v>37166.003333333334</v>
      </c>
      <c r="D45" s="114">
        <f t="shared" si="18"/>
        <v>31376.693333333333</v>
      </c>
      <c r="E45" s="114">
        <f t="shared" si="18"/>
        <v>36880.993333333332</v>
      </c>
      <c r="F45" s="114">
        <f t="shared" si="18"/>
        <v>42959.693333333329</v>
      </c>
      <c r="G45" s="114">
        <f t="shared" si="18"/>
        <v>29874.543333333335</v>
      </c>
      <c r="H45" s="114">
        <f t="shared" si="18"/>
        <v>36604.563333333339</v>
      </c>
      <c r="I45" s="114">
        <f t="shared" si="18"/>
        <v>34892.433333333334</v>
      </c>
      <c r="J45" s="114">
        <f t="shared" si="18"/>
        <v>34277.403333333335</v>
      </c>
      <c r="K45" s="114">
        <f t="shared" si="18"/>
        <v>39792.433333333334</v>
      </c>
      <c r="L45" s="114">
        <f t="shared" si="18"/>
        <v>55026.183333333334</v>
      </c>
      <c r="M45" s="114">
        <f t="shared" si="18"/>
        <v>45624.643333333333</v>
      </c>
      <c r="N45" s="114">
        <f t="shared" si="18"/>
        <v>33902.41333333333</v>
      </c>
      <c r="O45" s="114">
        <f t="shared" si="18"/>
        <v>458378</v>
      </c>
      <c r="P45" s="114">
        <f t="shared" si="18"/>
        <v>464808</v>
      </c>
      <c r="Q45" s="1"/>
    </row>
    <row r="46" spans="1:17" x14ac:dyDescent="0.3">
      <c r="A46" s="16"/>
      <c r="B46" s="115" t="s">
        <v>97</v>
      </c>
      <c r="C46" s="89">
        <f t="shared" ref="C46:P46" si="19">C15-C45</f>
        <v>4733.996666666666</v>
      </c>
      <c r="D46" s="89">
        <f t="shared" si="19"/>
        <v>17363.306666666667</v>
      </c>
      <c r="E46" s="89">
        <f t="shared" si="19"/>
        <v>23899.006666666668</v>
      </c>
      <c r="F46" s="89">
        <f t="shared" si="19"/>
        <v>15810.306666666671</v>
      </c>
      <c r="G46" s="89">
        <f t="shared" si="19"/>
        <v>35625.456666666665</v>
      </c>
      <c r="H46" s="89">
        <f t="shared" si="19"/>
        <v>17275.436666666661</v>
      </c>
      <c r="I46" s="89">
        <f t="shared" si="19"/>
        <v>1297.5666666666657</v>
      </c>
      <c r="J46" s="89">
        <f t="shared" si="19"/>
        <v>-52127.403333333335</v>
      </c>
      <c r="K46" s="89">
        <f t="shared" si="19"/>
        <v>-54732.433333333334</v>
      </c>
      <c r="L46" s="89">
        <f t="shared" si="19"/>
        <v>30423.816666666666</v>
      </c>
      <c r="M46" s="89">
        <f t="shared" si="19"/>
        <v>8635.3566666666666</v>
      </c>
      <c r="N46" s="89">
        <f t="shared" si="19"/>
        <v>27947.58666666667</v>
      </c>
      <c r="O46" s="89">
        <f t="shared" si="19"/>
        <v>751622</v>
      </c>
      <c r="P46" s="89">
        <f t="shared" si="19"/>
        <v>69722</v>
      </c>
      <c r="Q46" s="1"/>
    </row>
    <row r="47" spans="1:17" x14ac:dyDescent="0.3">
      <c r="A47" s="16"/>
      <c r="B47" s="116" t="s">
        <v>98</v>
      </c>
      <c r="C47" s="117">
        <f t="shared" ref="C47:N47" si="20">SUM(C46/C6)</f>
        <v>3.7100287356321836E-2</v>
      </c>
      <c r="D47" s="117">
        <f t="shared" si="20"/>
        <v>0.15204296555750146</v>
      </c>
      <c r="E47" s="117">
        <f t="shared" si="20"/>
        <v>0.24238343475321164</v>
      </c>
      <c r="F47" s="117">
        <f t="shared" si="20"/>
        <v>0.18277811175337191</v>
      </c>
      <c r="G47" s="117">
        <f t="shared" si="20"/>
        <v>0.40529529768676525</v>
      </c>
      <c r="H47" s="117">
        <f t="shared" si="20"/>
        <v>0.21978927056827813</v>
      </c>
      <c r="I47" s="117">
        <f t="shared" si="20"/>
        <v>1.6983856893542745E-2</v>
      </c>
      <c r="J47" s="117">
        <f t="shared" si="20"/>
        <v>-0.75987468415937809</v>
      </c>
      <c r="K47" s="117">
        <f t="shared" si="20"/>
        <v>-0.59298410978692673</v>
      </c>
      <c r="L47" s="117">
        <f t="shared" si="20"/>
        <v>0.22502822978303746</v>
      </c>
      <c r="M47" s="117">
        <f t="shared" si="20"/>
        <v>6.767520898641588E-2</v>
      </c>
      <c r="N47" s="117">
        <f t="shared" si="20"/>
        <v>0.23989344778254651</v>
      </c>
      <c r="O47" s="117"/>
      <c r="P47" s="117">
        <f>SUM(P46/P6)</f>
        <v>5.7621487603305786E-2</v>
      </c>
      <c r="Q47" s="2"/>
    </row>
    <row r="48" spans="1:17" hidden="1" x14ac:dyDescent="0.3">
      <c r="A48" s="23"/>
      <c r="B48" s="118" t="s">
        <v>60</v>
      </c>
      <c r="C48" s="18" t="e">
        <f>SUM(C$39+C$44)/#REF!</f>
        <v>#REF!</v>
      </c>
      <c r="D48" s="18" t="e">
        <f>SUM(D$39+D$44)/#REF!</f>
        <v>#REF!</v>
      </c>
      <c r="E48" s="18" t="e">
        <f>SUM(E$39+E$44)/#REF!</f>
        <v>#REF!</v>
      </c>
      <c r="F48" s="18" t="e">
        <f>SUM(F$39+F$44)/#REF!</f>
        <v>#REF!</v>
      </c>
      <c r="G48" s="18" t="e">
        <f>SUM(G$39+G$44)/#REF!</f>
        <v>#REF!</v>
      </c>
      <c r="H48" s="18" t="e">
        <f>SUM(H$39+H$44)/#REF!</f>
        <v>#REF!</v>
      </c>
      <c r="I48" s="18" t="e">
        <f>SUM(I$39+I$44)/#REF!</f>
        <v>#REF!</v>
      </c>
      <c r="J48" s="18" t="e">
        <f>SUM(J$39+J$44)/#REF!</f>
        <v>#REF!</v>
      </c>
      <c r="K48" s="18" t="e">
        <f>SUM(K$39+K$44)/#REF!</f>
        <v>#REF!</v>
      </c>
      <c r="L48" s="18" t="e">
        <f>SUM(L$39+L$44)/#REF!</f>
        <v>#REF!</v>
      </c>
      <c r="M48" s="18" t="e">
        <f>SUM(M$39+M$44)/#REF!</f>
        <v>#REF!</v>
      </c>
      <c r="N48" s="18" t="e">
        <f>SUM(N$39+N$44)/#REF!</f>
        <v>#REF!</v>
      </c>
      <c r="O48" s="18" t="e">
        <f>SUM(O$39+O$44)/#REF!</f>
        <v>#REF!</v>
      </c>
      <c r="P48" s="19" t="e">
        <f>SUM(P$39+P$44)/#REF!</f>
        <v>#REF!</v>
      </c>
      <c r="Q48" s="2"/>
    </row>
    <row r="50" spans="1:29" ht="15.75" customHeight="1" x14ac:dyDescent="0.3"/>
    <row r="54" spans="1:29" ht="15.6" x14ac:dyDescent="0.3">
      <c r="B54" s="177" t="s">
        <v>99</v>
      </c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</row>
    <row r="55" spans="1:29" ht="15.75" customHeight="1" x14ac:dyDescent="0.3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</row>
  </sheetData>
  <sheetProtection algorithmName="SHA-512" hashValue="YA/wN/5L5ZAyxQ/OiMd+SyfZEjqJ2ZYEhsdZIMPKXi+77QxlWycUT+PaPcCfymFI8RqMeTN5Mi46OukrX0RpKw==" saltValue="sPii6qXzEeBWcJQLHoRHaw==" spinCount="100000" sheet="1" objects="1" scenarios="1"/>
  <mergeCells count="1">
    <mergeCell ref="B54:AC54"/>
  </mergeCells>
  <printOptions gridLines="1"/>
  <pageMargins left="0.7" right="0.7" top="0.75" bottom="0.75" header="0.3" footer="0.3"/>
  <pageSetup fitToHeight="0" orientation="portrait"/>
  <headerFooter>
    <oddFooter>&amp;R&amp;N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7DF8-1729-4D7E-BAC2-6267672A0201}">
  <dimension ref="A1:AF89"/>
  <sheetViews>
    <sheetView tabSelected="1" zoomScale="85" zoomScaleNormal="85" workbookViewId="0">
      <selection activeCell="R86" sqref="R86"/>
    </sheetView>
  </sheetViews>
  <sheetFormatPr defaultRowHeight="14.4" x14ac:dyDescent="0.3"/>
  <cols>
    <col min="1" max="1" width="5.6640625" customWidth="1"/>
    <col min="2" max="2" width="32.6640625" customWidth="1"/>
    <col min="3" max="13" width="13.109375" customWidth="1"/>
    <col min="14" max="14" width="17.33203125" customWidth="1"/>
    <col min="15" max="15" width="17.33203125" hidden="1" customWidth="1"/>
    <col min="16" max="16" width="17.33203125" customWidth="1"/>
    <col min="17" max="17" width="17.33203125" hidden="1" customWidth="1"/>
    <col min="18" max="18" width="15" style="158" customWidth="1"/>
    <col min="19" max="19" width="15.33203125" customWidth="1"/>
    <col min="20" max="20" width="15" customWidth="1"/>
  </cols>
  <sheetData>
    <row r="1" spans="1:32" ht="66" customHeight="1" x14ac:dyDescent="0.75">
      <c r="A1" s="1"/>
      <c r="B1" s="53"/>
      <c r="C1" s="2"/>
      <c r="E1" s="3"/>
      <c r="F1" s="3"/>
      <c r="G1" s="2"/>
      <c r="H1" s="4"/>
      <c r="I1" s="4"/>
      <c r="J1" s="2"/>
      <c r="K1" s="4"/>
      <c r="L1" s="4"/>
      <c r="M1" s="4"/>
      <c r="N1" s="4"/>
      <c r="O1" s="54"/>
      <c r="P1" s="55"/>
      <c r="Q1" s="55"/>
      <c r="R1" s="152"/>
    </row>
    <row r="2" spans="1:32" s="27" customFormat="1" ht="27.75" customHeight="1" x14ac:dyDescent="0.3">
      <c r="A2" s="56"/>
      <c r="B2" s="57"/>
      <c r="C2" s="58" t="s">
        <v>43</v>
      </c>
      <c r="D2" s="58" t="s">
        <v>44</v>
      </c>
      <c r="E2" s="58" t="s">
        <v>45</v>
      </c>
      <c r="F2" s="58" t="s">
        <v>46</v>
      </c>
      <c r="G2" s="58" t="s">
        <v>47</v>
      </c>
      <c r="H2" s="58" t="s">
        <v>48</v>
      </c>
      <c r="I2" s="58" t="s">
        <v>49</v>
      </c>
      <c r="J2" s="58" t="s">
        <v>50</v>
      </c>
      <c r="K2" s="58" t="s">
        <v>51</v>
      </c>
      <c r="L2" s="58" t="s">
        <v>52</v>
      </c>
      <c r="M2" s="59" t="s">
        <v>53</v>
      </c>
      <c r="N2" s="58" t="s">
        <v>54</v>
      </c>
      <c r="O2" s="60"/>
      <c r="P2" s="61" t="s">
        <v>55</v>
      </c>
      <c r="Q2" s="140"/>
      <c r="R2" s="153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x14ac:dyDescent="0.3">
      <c r="A3" s="14"/>
      <c r="B3" s="62" t="s">
        <v>56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3"/>
      <c r="Q3" s="13"/>
      <c r="R3" s="154"/>
    </row>
    <row r="4" spans="1:32" hidden="1" x14ac:dyDescent="0.3">
      <c r="A4" s="14"/>
      <c r="B4" s="62" t="s">
        <v>57</v>
      </c>
      <c r="C4" s="63">
        <v>0.13</v>
      </c>
      <c r="D4" s="64">
        <v>0.04</v>
      </c>
      <c r="E4" s="64">
        <v>0.08</v>
      </c>
      <c r="F4" s="64">
        <v>0.05</v>
      </c>
      <c r="G4" s="64">
        <v>0.04</v>
      </c>
      <c r="H4" s="65">
        <v>0.05</v>
      </c>
      <c r="I4" s="65">
        <v>7.0000000000000007E-2</v>
      </c>
      <c r="J4" s="65">
        <v>0.1</v>
      </c>
      <c r="K4" s="65">
        <v>0.06</v>
      </c>
      <c r="L4" s="65">
        <v>0.17</v>
      </c>
      <c r="M4" s="65">
        <v>0.16</v>
      </c>
      <c r="N4" s="65">
        <v>0.05</v>
      </c>
      <c r="O4" s="15">
        <f>SUM(C4:N4)</f>
        <v>1</v>
      </c>
      <c r="P4" s="13"/>
      <c r="Q4" s="13"/>
      <c r="R4" s="154"/>
    </row>
    <row r="5" spans="1:32" x14ac:dyDescent="0.3">
      <c r="A5" s="24"/>
      <c r="B5" s="131" t="s">
        <v>100</v>
      </c>
      <c r="C5" s="164">
        <v>82940</v>
      </c>
      <c r="D5" s="164">
        <v>74230</v>
      </c>
      <c r="E5" s="164">
        <v>64090</v>
      </c>
      <c r="F5" s="164">
        <v>56225.000000000007</v>
      </c>
      <c r="G5" s="164">
        <v>44135</v>
      </c>
      <c r="H5" s="164">
        <v>51090</v>
      </c>
      <c r="I5" s="164">
        <v>49660</v>
      </c>
      <c r="J5" s="164">
        <v>57590</v>
      </c>
      <c r="K5" s="164">
        <v>59995</v>
      </c>
      <c r="L5" s="164">
        <v>87880</v>
      </c>
      <c r="M5" s="164">
        <v>82940</v>
      </c>
      <c r="N5" s="164">
        <v>75724.350000000006</v>
      </c>
      <c r="O5" s="69"/>
      <c r="P5" s="70">
        <f>SUM(C5:N5)</f>
        <v>786499.35</v>
      </c>
      <c r="Q5" s="141">
        <v>786499.35</v>
      </c>
      <c r="R5" s="154">
        <v>0.65</v>
      </c>
    </row>
    <row r="6" spans="1:32" x14ac:dyDescent="0.3">
      <c r="A6" s="24"/>
      <c r="B6" s="131" t="s">
        <v>101</v>
      </c>
      <c r="C6" s="164">
        <v>15312</v>
      </c>
      <c r="D6" s="164">
        <v>13704</v>
      </c>
      <c r="E6" s="164">
        <v>11832</v>
      </c>
      <c r="F6" s="164">
        <v>10380</v>
      </c>
      <c r="G6" s="164">
        <v>8148</v>
      </c>
      <c r="H6" s="164">
        <v>9432</v>
      </c>
      <c r="I6" s="164">
        <v>9168</v>
      </c>
      <c r="J6" s="164">
        <v>10632</v>
      </c>
      <c r="K6" s="164">
        <v>11076</v>
      </c>
      <c r="L6" s="164">
        <v>16224</v>
      </c>
      <c r="M6" s="164">
        <v>15312</v>
      </c>
      <c r="N6" s="164">
        <v>13979.880000000003</v>
      </c>
      <c r="O6" s="69"/>
      <c r="P6" s="70">
        <f>SUM(C6:N6)</f>
        <v>145199.88</v>
      </c>
      <c r="Q6" s="141">
        <v>145199.88</v>
      </c>
      <c r="R6" s="154">
        <v>0.12</v>
      </c>
    </row>
    <row r="7" spans="1:32" x14ac:dyDescent="0.3">
      <c r="A7" s="24"/>
      <c r="B7" s="131" t="s">
        <v>102</v>
      </c>
      <c r="C7" s="164">
        <v>11484</v>
      </c>
      <c r="D7" s="164">
        <v>10278</v>
      </c>
      <c r="E7" s="164">
        <v>8874</v>
      </c>
      <c r="F7" s="164">
        <v>7785.0000000000009</v>
      </c>
      <c r="G7" s="164">
        <v>6111</v>
      </c>
      <c r="H7" s="164">
        <v>7074</v>
      </c>
      <c r="I7" s="164">
        <v>6876</v>
      </c>
      <c r="J7" s="164">
        <v>7974</v>
      </c>
      <c r="K7" s="164">
        <v>8307</v>
      </c>
      <c r="L7" s="164">
        <v>12168</v>
      </c>
      <c r="M7" s="164">
        <v>11484</v>
      </c>
      <c r="N7" s="164">
        <v>10484.91</v>
      </c>
      <c r="O7" s="69"/>
      <c r="P7" s="70">
        <f>SUM(C7:N7)</f>
        <v>108899.91</v>
      </c>
      <c r="Q7" s="141">
        <v>108899.91</v>
      </c>
      <c r="R7" s="154">
        <v>0.09</v>
      </c>
    </row>
    <row r="8" spans="1:32" x14ac:dyDescent="0.3">
      <c r="A8" s="24"/>
      <c r="B8" s="131" t="s">
        <v>103</v>
      </c>
      <c r="C8" s="164">
        <v>15202.27</v>
      </c>
      <c r="D8" s="164">
        <v>14680.33</v>
      </c>
      <c r="E8" s="164">
        <v>14101.82</v>
      </c>
      <c r="F8" s="164">
        <v>13506.05</v>
      </c>
      <c r="G8" s="164">
        <v>12551.17</v>
      </c>
      <c r="H8" s="164">
        <v>13105.87</v>
      </c>
      <c r="I8" s="164">
        <v>13401.88</v>
      </c>
      <c r="J8" s="164">
        <v>13733.07</v>
      </c>
      <c r="K8" s="164">
        <v>14199.41</v>
      </c>
      <c r="L8" s="164">
        <v>15028.73</v>
      </c>
      <c r="M8" s="164">
        <v>14991.25</v>
      </c>
      <c r="N8" s="132">
        <v>14899.15</v>
      </c>
      <c r="O8" s="69"/>
      <c r="P8" s="70">
        <f>SUM(C8:N8)</f>
        <v>169401</v>
      </c>
      <c r="Q8" s="141">
        <v>169400.49391902841</v>
      </c>
      <c r="R8" s="154">
        <v>0.14000000000000001</v>
      </c>
    </row>
    <row r="9" spans="1:32" x14ac:dyDescent="0.3">
      <c r="A9" s="23"/>
      <c r="B9" s="71" t="s">
        <v>59</v>
      </c>
      <c r="C9" s="163">
        <f t="shared" ref="C9:O9" si="0">SUM(C5:C8)</f>
        <v>124938.27</v>
      </c>
      <c r="D9" s="163">
        <f t="shared" si="0"/>
        <v>112892.33</v>
      </c>
      <c r="E9" s="163">
        <f t="shared" si="0"/>
        <v>98897.82</v>
      </c>
      <c r="F9" s="163">
        <f t="shared" si="0"/>
        <v>87896.05</v>
      </c>
      <c r="G9" s="163">
        <f t="shared" si="0"/>
        <v>70945.17</v>
      </c>
      <c r="H9" s="163">
        <f t="shared" si="0"/>
        <v>80701.87</v>
      </c>
      <c r="I9" s="163">
        <f t="shared" si="0"/>
        <v>79105.88</v>
      </c>
      <c r="J9" s="163">
        <f t="shared" si="0"/>
        <v>89929.07</v>
      </c>
      <c r="K9" s="163">
        <f t="shared" si="0"/>
        <v>93577.41</v>
      </c>
      <c r="L9" s="163">
        <f t="shared" si="0"/>
        <v>131300.73000000001</v>
      </c>
      <c r="M9" s="163">
        <f t="shared" si="0"/>
        <v>124727.25</v>
      </c>
      <c r="N9" s="163">
        <f t="shared" si="0"/>
        <v>115088.29000000001</v>
      </c>
      <c r="O9" s="75">
        <f t="shared" si="0"/>
        <v>0</v>
      </c>
      <c r="P9" s="75">
        <f>SUM(P5:P8)</f>
        <v>1210000.1400000001</v>
      </c>
      <c r="Q9" s="142">
        <v>1210000</v>
      </c>
      <c r="R9" s="155">
        <f>SUM(R5:R8)</f>
        <v>1</v>
      </c>
    </row>
    <row r="10" spans="1:32" hidden="1" x14ac:dyDescent="0.3">
      <c r="A10" s="54"/>
      <c r="B10" s="76" t="s">
        <v>60</v>
      </c>
      <c r="C10" s="77" t="e">
        <f>SUM(C$71+C$76)/#REF!</f>
        <v>#REF!</v>
      </c>
      <c r="D10" s="18" t="e">
        <f>SUM(D$71+D$76)/#REF!</f>
        <v>#REF!</v>
      </c>
      <c r="E10" s="18" t="e">
        <f>SUM(E$71+E$76)/#REF!</f>
        <v>#REF!</v>
      </c>
      <c r="F10" s="18" t="e">
        <f>SUM(F$71+F$76)/#REF!</f>
        <v>#REF!</v>
      </c>
      <c r="G10" s="18" t="e">
        <f>SUM(G$71+G$76)/#REF!</f>
        <v>#REF!</v>
      </c>
      <c r="H10" s="18" t="e">
        <f>SUM(H$71+H$76)/#REF!</f>
        <v>#REF!</v>
      </c>
      <c r="I10" s="18" t="e">
        <f>SUM(I$71+I$76)/#REF!</f>
        <v>#REF!</v>
      </c>
      <c r="J10" s="18" t="e">
        <f>SUM(J$71+J$76)/#REF!</f>
        <v>#REF!</v>
      </c>
      <c r="K10" s="18" t="e">
        <f>SUM(K$71+K$76)/#REF!</f>
        <v>#REF!</v>
      </c>
      <c r="L10" s="18" t="e">
        <f>SUM(L$71+L$76)/#REF!</f>
        <v>#REF!</v>
      </c>
      <c r="M10" s="18" t="e">
        <f>SUM(M$71+M$76)/#REF!</f>
        <v>#REF!</v>
      </c>
      <c r="N10" s="18" t="e">
        <f>SUM(N$71+N$76)/#REF!</f>
        <v>#REF!</v>
      </c>
      <c r="O10" s="19" t="e">
        <f>SUM(O$71+O$76)/#REF!</f>
        <v>#REF!</v>
      </c>
      <c r="P10" s="78" t="e">
        <f>SUM(P$71+P$76)/#REF!</f>
        <v>#REF!</v>
      </c>
      <c r="Q10" s="143" t="e">
        <v>#REF!</v>
      </c>
      <c r="R10" s="156"/>
    </row>
    <row r="11" spans="1:32" x14ac:dyDescent="0.3">
      <c r="A11" s="17"/>
      <c r="B11" s="79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157"/>
    </row>
    <row r="12" spans="1:32" x14ac:dyDescent="0.3">
      <c r="A12" s="23"/>
      <c r="B12" s="107" t="s">
        <v>104</v>
      </c>
      <c r="C12" s="9"/>
      <c r="D12" s="5"/>
      <c r="E12" s="5"/>
      <c r="F12" s="5"/>
      <c r="G12" s="5"/>
      <c r="H12" s="6"/>
      <c r="I12" s="6"/>
      <c r="J12" s="6"/>
      <c r="K12" s="6"/>
      <c r="L12" s="6"/>
      <c r="M12" s="6"/>
      <c r="N12" s="6"/>
      <c r="O12" s="7"/>
      <c r="P12" s="8"/>
      <c r="Q12" s="8"/>
      <c r="R12" s="152"/>
    </row>
    <row r="13" spans="1:32" x14ac:dyDescent="0.3">
      <c r="A13" s="23">
        <v>5110</v>
      </c>
      <c r="B13" s="151" t="s">
        <v>105</v>
      </c>
      <c r="C13" s="148">
        <f>(C$5/$Q$5)*$Q13</f>
        <v>42318.944065243028</v>
      </c>
      <c r="D13" s="148">
        <f t="shared" ref="D13:N15" si="1">(D$5/$Q$5)*$Q13</f>
        <v>37874.791632059198</v>
      </c>
      <c r="E13" s="148">
        <f t="shared" si="1"/>
        <v>32701.002232233252</v>
      </c>
      <c r="F13" s="148">
        <f t="shared" si="1"/>
        <v>28687.998915701588</v>
      </c>
      <c r="G13" s="148">
        <f t="shared" si="1"/>
        <v>22519.250015909103</v>
      </c>
      <c r="H13" s="148">
        <f t="shared" si="1"/>
        <v>26067.938899123055</v>
      </c>
      <c r="I13" s="148">
        <f t="shared" si="1"/>
        <v>25338.301932480936</v>
      </c>
      <c r="J13" s="148">
        <f t="shared" si="1"/>
        <v>29384.470565678155</v>
      </c>
      <c r="K13" s="148">
        <f t="shared" si="1"/>
        <v>30611.587282303542</v>
      </c>
      <c r="L13" s="148">
        <f t="shared" si="1"/>
        <v>44839.508131824907</v>
      </c>
      <c r="M13" s="148">
        <f t="shared" si="1"/>
        <v>42318.944065243028</v>
      </c>
      <c r="N13" s="148">
        <f t="shared" si="1"/>
        <v>38637.262262200216</v>
      </c>
      <c r="O13" s="82">
        <v>474800</v>
      </c>
      <c r="P13" s="70">
        <v>401300</v>
      </c>
      <c r="Q13" s="141">
        <v>401300</v>
      </c>
      <c r="R13" s="155"/>
    </row>
    <row r="14" spans="1:32" x14ac:dyDescent="0.3">
      <c r="A14" s="23">
        <v>5120</v>
      </c>
      <c r="B14" s="151" t="s">
        <v>106</v>
      </c>
      <c r="C14" s="148">
        <f>(C$5/$Q$5)*$Q14</f>
        <v>4921.567703774962</v>
      </c>
      <c r="D14" s="148">
        <f t="shared" si="1"/>
        <v>4404.7259543189703</v>
      </c>
      <c r="E14" s="148">
        <f t="shared" si="1"/>
        <v>3803.0295892806525</v>
      </c>
      <c r="F14" s="148">
        <f t="shared" si="1"/>
        <v>3336.329203577855</v>
      </c>
      <c r="G14" s="148">
        <f t="shared" si="1"/>
        <v>2618.9219991090904</v>
      </c>
      <c r="H14" s="148">
        <f t="shared" si="1"/>
        <v>3031.6239930776801</v>
      </c>
      <c r="I14" s="148">
        <f t="shared" si="1"/>
        <v>2946.7693774953536</v>
      </c>
      <c r="J14" s="148">
        <f t="shared" si="1"/>
        <v>3417.3267911791663</v>
      </c>
      <c r="K14" s="148">
        <f t="shared" si="1"/>
        <v>3560.0368264767162</v>
      </c>
      <c r="L14" s="148">
        <f t="shared" si="1"/>
        <v>5214.701830332091</v>
      </c>
      <c r="M14" s="148">
        <f t="shared" si="1"/>
        <v>4921.567703774962</v>
      </c>
      <c r="N14" s="148">
        <f t="shared" si="1"/>
        <v>4493.3990276025024</v>
      </c>
      <c r="O14" s="82">
        <v>96670</v>
      </c>
      <c r="P14" s="70">
        <f>SUM(C14:N14)</f>
        <v>46670</v>
      </c>
      <c r="Q14" s="141">
        <v>46670</v>
      </c>
      <c r="R14" s="155"/>
    </row>
    <row r="15" spans="1:32" x14ac:dyDescent="0.3">
      <c r="A15" s="23">
        <v>5140</v>
      </c>
      <c r="B15" s="151" t="s">
        <v>107</v>
      </c>
      <c r="C15" s="148">
        <f>(C$5/$Q$5)*$Q15</f>
        <v>1845.4560706248519</v>
      </c>
      <c r="D15" s="148">
        <f t="shared" si="1"/>
        <v>1651.6542575655021</v>
      </c>
      <c r="E15" s="148">
        <f t="shared" si="1"/>
        <v>1426.034236391931</v>
      </c>
      <c r="F15" s="148">
        <f t="shared" si="1"/>
        <v>1251.0340917637125</v>
      </c>
      <c r="G15" s="148">
        <f t="shared" si="1"/>
        <v>982.02560497983882</v>
      </c>
      <c r="H15" s="148">
        <f t="shared" si="1"/>
        <v>1136.7777989899164</v>
      </c>
      <c r="I15" s="148">
        <f t="shared" si="1"/>
        <v>1104.9595908756951</v>
      </c>
      <c r="J15" s="148">
        <f t="shared" si="1"/>
        <v>1281.4060176909238</v>
      </c>
      <c r="K15" s="148">
        <f t="shared" si="1"/>
        <v>1334.9184586102965</v>
      </c>
      <c r="L15" s="148">
        <f t="shared" si="1"/>
        <v>1955.3735168376172</v>
      </c>
      <c r="M15" s="148">
        <f t="shared" si="1"/>
        <v>1845.4560706248519</v>
      </c>
      <c r="N15" s="148">
        <f t="shared" si="1"/>
        <v>1684.9042850448639</v>
      </c>
      <c r="O15" s="82">
        <v>55500</v>
      </c>
      <c r="P15" s="70">
        <v>17500</v>
      </c>
      <c r="Q15" s="141">
        <v>17500</v>
      </c>
      <c r="R15" s="155"/>
    </row>
    <row r="16" spans="1:32" x14ac:dyDescent="0.3">
      <c r="A16" s="23">
        <v>5160</v>
      </c>
      <c r="B16" s="151" t="s">
        <v>108</v>
      </c>
      <c r="C16" s="148">
        <v>7292.4555912856122</v>
      </c>
      <c r="D16" s="148">
        <v>7095.5629194734875</v>
      </c>
      <c r="E16" s="148">
        <v>5667.8520478116097</v>
      </c>
      <c r="F16" s="148">
        <v>5346.8519486379737</v>
      </c>
      <c r="G16" s="148">
        <v>4040.3339176313366</v>
      </c>
      <c r="H16" s="148">
        <v>4677.0286587013707</v>
      </c>
      <c r="I16" s="148">
        <v>4546.119459602859</v>
      </c>
      <c r="J16" s="148">
        <v>5771.6784121309192</v>
      </c>
      <c r="K16" s="148">
        <v>4992.3726573327749</v>
      </c>
      <c r="L16" s="148">
        <v>7044.8275544029375</v>
      </c>
      <c r="M16" s="148">
        <v>8592.4555912856122</v>
      </c>
      <c r="N16" s="148">
        <v>6932.177629898868</v>
      </c>
      <c r="O16" s="82">
        <v>60000</v>
      </c>
      <c r="P16" s="70">
        <f>SUM(C16:N16)</f>
        <v>71999.71638819536</v>
      </c>
      <c r="Q16" s="141">
        <v>72000</v>
      </c>
      <c r="R16" s="155"/>
    </row>
    <row r="17" spans="1:18" x14ac:dyDescent="0.3">
      <c r="A17" s="23"/>
      <c r="B17" s="151" t="s">
        <v>109</v>
      </c>
      <c r="C17" s="148">
        <f>(C$5/$Q$5)*$Q17</f>
        <v>1054.5463260713439</v>
      </c>
      <c r="D17" s="148">
        <f t="shared" ref="D17:N17" si="2">(D$5/$Q$5)*$Q17</f>
        <v>943.80243289457269</v>
      </c>
      <c r="E17" s="148">
        <f t="shared" si="2"/>
        <v>814.87670650967482</v>
      </c>
      <c r="F17" s="148">
        <f t="shared" si="2"/>
        <v>714.87662386497857</v>
      </c>
      <c r="G17" s="148">
        <f t="shared" si="2"/>
        <v>561.15748855990796</v>
      </c>
      <c r="H17" s="148">
        <f t="shared" si="2"/>
        <v>649.58731370852365</v>
      </c>
      <c r="I17" s="148">
        <f t="shared" si="2"/>
        <v>631.40548050039718</v>
      </c>
      <c r="J17" s="148">
        <f t="shared" si="2"/>
        <v>732.23201010909929</v>
      </c>
      <c r="K17" s="148">
        <f t="shared" si="2"/>
        <v>762.81054777731231</v>
      </c>
      <c r="L17" s="148">
        <f t="shared" si="2"/>
        <v>1117.3562953357814</v>
      </c>
      <c r="M17" s="148">
        <f t="shared" si="2"/>
        <v>1054.5463260713439</v>
      </c>
      <c r="N17" s="148">
        <f t="shared" si="2"/>
        <v>962.80244859706499</v>
      </c>
      <c r="O17" s="82"/>
      <c r="P17" s="70">
        <f t="shared" ref="P17" si="3">SUM(C17:N17)</f>
        <v>10000.000000000002</v>
      </c>
      <c r="Q17" s="141">
        <v>10000</v>
      </c>
      <c r="R17" s="155"/>
    </row>
    <row r="18" spans="1:18" x14ac:dyDescent="0.3">
      <c r="A18" s="16"/>
      <c r="B18" s="137" t="s">
        <v>110</v>
      </c>
      <c r="C18" s="75">
        <f t="shared" ref="C18:O18" si="4">SUM(C13:C17)</f>
        <v>57432.969756999795</v>
      </c>
      <c r="D18" s="75">
        <f t="shared" si="4"/>
        <v>51970.537196311736</v>
      </c>
      <c r="E18" s="75">
        <f t="shared" si="4"/>
        <v>44412.794812227126</v>
      </c>
      <c r="F18" s="75">
        <f t="shared" si="4"/>
        <v>39337.090783546104</v>
      </c>
      <c r="G18" s="75">
        <f t="shared" si="4"/>
        <v>30721.689026189273</v>
      </c>
      <c r="H18" s="75">
        <f t="shared" si="4"/>
        <v>35562.95666360054</v>
      </c>
      <c r="I18" s="75">
        <f t="shared" si="4"/>
        <v>34567.555840955247</v>
      </c>
      <c r="J18" s="75">
        <f t="shared" si="4"/>
        <v>40587.113796788268</v>
      </c>
      <c r="K18" s="75">
        <f t="shared" si="4"/>
        <v>41261.725772500642</v>
      </c>
      <c r="L18" s="75">
        <f t="shared" si="4"/>
        <v>60171.767328733331</v>
      </c>
      <c r="M18" s="75">
        <f t="shared" si="4"/>
        <v>58732.969756999795</v>
      </c>
      <c r="N18" s="75">
        <f t="shared" si="4"/>
        <v>52710.545653343514</v>
      </c>
      <c r="O18" s="75">
        <f t="shared" si="4"/>
        <v>686970</v>
      </c>
      <c r="P18" s="75">
        <f>SUM(P13:P17)</f>
        <v>547469.7163881954</v>
      </c>
      <c r="Q18" s="142">
        <v>408524</v>
      </c>
      <c r="R18" s="155"/>
    </row>
    <row r="19" spans="1:18" x14ac:dyDescent="0.3">
      <c r="A19" s="17"/>
      <c r="B19" s="88" t="s">
        <v>67</v>
      </c>
      <c r="C19" s="89">
        <f>SUM(C5-C18)</f>
        <v>25507.030243000205</v>
      </c>
      <c r="D19" s="89">
        <f t="shared" ref="D19:N19" si="5">SUM(D5-D18)</f>
        <v>22259.462803688264</v>
      </c>
      <c r="E19" s="89">
        <f t="shared" si="5"/>
        <v>19677.205187772874</v>
      </c>
      <c r="F19" s="89">
        <f t="shared" si="5"/>
        <v>16887.909216453903</v>
      </c>
      <c r="G19" s="89">
        <f t="shared" si="5"/>
        <v>13413.310973810727</v>
      </c>
      <c r="H19" s="89">
        <f t="shared" si="5"/>
        <v>15527.04333639946</v>
      </c>
      <c r="I19" s="89">
        <f t="shared" si="5"/>
        <v>15092.444159044753</v>
      </c>
      <c r="J19" s="89">
        <f t="shared" si="5"/>
        <v>17002.886203211732</v>
      </c>
      <c r="K19" s="89">
        <f t="shared" si="5"/>
        <v>18733.274227499358</v>
      </c>
      <c r="L19" s="89">
        <f t="shared" si="5"/>
        <v>27708.232671266669</v>
      </c>
      <c r="M19" s="89">
        <f t="shared" si="5"/>
        <v>24207.030243000205</v>
      </c>
      <c r="N19" s="89">
        <f t="shared" si="5"/>
        <v>23013.804346656492</v>
      </c>
      <c r="O19" s="89">
        <f>SUM(O5-O18)</f>
        <v>-686970</v>
      </c>
      <c r="P19" s="89">
        <f>SUM(P5-P18)</f>
        <v>239029.63361180457</v>
      </c>
      <c r="Q19" s="144">
        <v>801476</v>
      </c>
      <c r="R19" s="157"/>
    </row>
    <row r="20" spans="1:18" x14ac:dyDescent="0.3">
      <c r="A20" s="24"/>
      <c r="B20" s="90" t="s">
        <v>68</v>
      </c>
      <c r="C20" s="91">
        <f t="shared" ref="C20:O20" si="6">(C5-C18)/C5</f>
        <v>0.30753593251748501</v>
      </c>
      <c r="D20" s="91">
        <f t="shared" si="6"/>
        <v>0.29987151830376213</v>
      </c>
      <c r="E20" s="91">
        <f t="shared" si="6"/>
        <v>0.30702457774649516</v>
      </c>
      <c r="F20" s="91">
        <f t="shared" si="6"/>
        <v>0.30036299184444465</v>
      </c>
      <c r="G20" s="91">
        <f t="shared" si="6"/>
        <v>0.30391550863964489</v>
      </c>
      <c r="H20" s="91">
        <f t="shared" si="6"/>
        <v>0.30391550863964495</v>
      </c>
      <c r="I20" s="91">
        <f t="shared" si="6"/>
        <v>0.30391550863964467</v>
      </c>
      <c r="J20" s="91">
        <f t="shared" si="6"/>
        <v>0.2952402535720044</v>
      </c>
      <c r="K20" s="91">
        <f t="shared" si="6"/>
        <v>0.31224725772980011</v>
      </c>
      <c r="L20" s="91">
        <f t="shared" si="6"/>
        <v>0.3152962297595206</v>
      </c>
      <c r="M20" s="91">
        <f t="shared" si="6"/>
        <v>0.29186195132626241</v>
      </c>
      <c r="N20" s="91">
        <f t="shared" si="6"/>
        <v>0.30391550863964484</v>
      </c>
      <c r="O20" s="91" t="e">
        <f t="shared" si="6"/>
        <v>#DIV/0!</v>
      </c>
      <c r="P20" s="91">
        <f>(P5-P18)/P5</f>
        <v>0.30391586923982145</v>
      </c>
      <c r="Q20" s="130">
        <v>0.32475316095302559</v>
      </c>
      <c r="R20" s="154"/>
    </row>
    <row r="21" spans="1:18" x14ac:dyDescent="0.3">
      <c r="A21" s="24"/>
      <c r="B21" s="52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154"/>
    </row>
    <row r="22" spans="1:18" x14ac:dyDescent="0.3">
      <c r="A22" s="24"/>
      <c r="B22" s="107" t="s">
        <v>111</v>
      </c>
      <c r="C22" s="9"/>
      <c r="D22" s="5"/>
      <c r="E22" s="5"/>
      <c r="F22" s="5"/>
      <c r="G22" s="5"/>
      <c r="H22" s="6"/>
      <c r="I22" s="6"/>
      <c r="J22" s="6"/>
      <c r="K22" s="6"/>
      <c r="L22" s="6"/>
      <c r="M22" s="6"/>
      <c r="N22" s="6"/>
      <c r="O22" s="7"/>
      <c r="P22" s="8"/>
      <c r="Q22" s="8"/>
      <c r="R22" s="152"/>
    </row>
    <row r="23" spans="1:18" x14ac:dyDescent="0.3">
      <c r="A23" s="24"/>
      <c r="B23" s="151" t="s">
        <v>112</v>
      </c>
      <c r="C23" s="162">
        <v>10018.1900976778</v>
      </c>
      <c r="D23" s="162">
        <v>6966.1231124984397</v>
      </c>
      <c r="E23" s="162">
        <v>6241.3287118419103</v>
      </c>
      <c r="F23" s="162">
        <v>6291.3279267172902</v>
      </c>
      <c r="G23" s="162">
        <v>4130.9961413191204</v>
      </c>
      <c r="H23" s="162">
        <v>5371.0794802309701</v>
      </c>
      <c r="I23" s="162">
        <v>5998.3520647537698</v>
      </c>
      <c r="J23" s="162">
        <v>4956.2040960364402</v>
      </c>
      <c r="K23" s="162">
        <v>7246.7002038844703</v>
      </c>
      <c r="L23" s="162">
        <v>9614.8848056899005</v>
      </c>
      <c r="M23" s="162">
        <v>9018.1900976777997</v>
      </c>
      <c r="N23" s="162">
        <v>9146.6232616721009</v>
      </c>
      <c r="O23" s="103">
        <f>SUM(C23:N23)</f>
        <v>85000.000000000015</v>
      </c>
      <c r="P23" s="70">
        <f>SUM(C23:N23)</f>
        <v>85000.000000000015</v>
      </c>
      <c r="Q23" s="141">
        <v>95000</v>
      </c>
      <c r="R23" s="152"/>
    </row>
    <row r="24" spans="1:18" x14ac:dyDescent="0.3">
      <c r="A24" s="24"/>
      <c r="B24" s="151" t="s">
        <v>107</v>
      </c>
      <c r="C24" s="162">
        <v>1101.81900976778</v>
      </c>
      <c r="D24" s="162">
        <v>796.61231124984397</v>
      </c>
      <c r="E24" s="162">
        <v>724.13287118419112</v>
      </c>
      <c r="F24" s="162">
        <v>729.13279267172902</v>
      </c>
      <c r="G24" s="162">
        <v>513.09961413191206</v>
      </c>
      <c r="H24" s="162">
        <v>637.10794802309704</v>
      </c>
      <c r="I24" s="162">
        <v>699.83520647537705</v>
      </c>
      <c r="J24" s="162">
        <v>595.62040960364402</v>
      </c>
      <c r="K24" s="162">
        <v>824.67002038844703</v>
      </c>
      <c r="L24" s="162">
        <v>961.4884805689901</v>
      </c>
      <c r="M24" s="162">
        <v>901.81900976778002</v>
      </c>
      <c r="N24" s="162">
        <v>1014.6623261672102</v>
      </c>
      <c r="O24" s="103"/>
      <c r="P24" s="70">
        <f>SUM(C24:N24)</f>
        <v>9500.0000000000018</v>
      </c>
      <c r="Q24" s="141">
        <v>9000</v>
      </c>
      <c r="R24" s="152"/>
    </row>
    <row r="25" spans="1:18" x14ac:dyDescent="0.3">
      <c r="A25" s="24"/>
      <c r="B25" s="107" t="s">
        <v>113</v>
      </c>
      <c r="C25" s="73">
        <f t="shared" ref="C25:O25" si="7">SUM(C23:C24)</f>
        <v>11120.00910744558</v>
      </c>
      <c r="D25" s="73">
        <f t="shared" si="7"/>
        <v>7762.7354237482832</v>
      </c>
      <c r="E25" s="73">
        <f t="shared" si="7"/>
        <v>6965.4615830261009</v>
      </c>
      <c r="F25" s="73">
        <f t="shared" si="7"/>
        <v>7020.4607193890188</v>
      </c>
      <c r="G25" s="73">
        <f t="shared" si="7"/>
        <v>4644.0957554510323</v>
      </c>
      <c r="H25" s="73">
        <f t="shared" si="7"/>
        <v>6008.1874282540675</v>
      </c>
      <c r="I25" s="73">
        <f t="shared" si="7"/>
        <v>6698.187271229147</v>
      </c>
      <c r="J25" s="73">
        <f t="shared" si="7"/>
        <v>5551.8245056400847</v>
      </c>
      <c r="K25" s="73">
        <f t="shared" si="7"/>
        <v>8071.3702242729178</v>
      </c>
      <c r="L25" s="73">
        <f t="shared" si="7"/>
        <v>10576.373286258891</v>
      </c>
      <c r="M25" s="73">
        <f t="shared" si="7"/>
        <v>9920.0091074455795</v>
      </c>
      <c r="N25" s="73">
        <f t="shared" si="7"/>
        <v>10161.285587839311</v>
      </c>
      <c r="O25" s="73">
        <f t="shared" si="7"/>
        <v>85000.000000000015</v>
      </c>
      <c r="P25" s="73">
        <f>SUM(P23:P24)</f>
        <v>94500.000000000015</v>
      </c>
      <c r="Q25" s="86">
        <f>SUM(Q23:Q23)</f>
        <v>95000</v>
      </c>
      <c r="R25" s="152"/>
    </row>
    <row r="26" spans="1:18" x14ac:dyDescent="0.3">
      <c r="A26" s="24"/>
      <c r="B26" s="135" t="s">
        <v>67</v>
      </c>
      <c r="C26" s="159">
        <f t="shared" ref="C26:P26" si="8">SUM(C6-C25)</f>
        <v>4191.9908925544205</v>
      </c>
      <c r="D26" s="89">
        <f t="shared" si="8"/>
        <v>5941.2645762517168</v>
      </c>
      <c r="E26" s="89">
        <f t="shared" si="8"/>
        <v>4866.5384169738991</v>
      </c>
      <c r="F26" s="89">
        <f t="shared" si="8"/>
        <v>3359.5392806109812</v>
      </c>
      <c r="G26" s="89">
        <f t="shared" si="8"/>
        <v>3503.9042445489677</v>
      </c>
      <c r="H26" s="89">
        <f t="shared" si="8"/>
        <v>3423.8125717459325</v>
      </c>
      <c r="I26" s="89">
        <f t="shared" si="8"/>
        <v>2469.812728770853</v>
      </c>
      <c r="J26" s="89">
        <f t="shared" si="8"/>
        <v>5080.1754943599153</v>
      </c>
      <c r="K26" s="89">
        <f t="shared" si="8"/>
        <v>3004.6297757270822</v>
      </c>
      <c r="L26" s="89">
        <f t="shared" si="8"/>
        <v>5647.6267137411087</v>
      </c>
      <c r="M26" s="89">
        <f t="shared" si="8"/>
        <v>5391.9908925544205</v>
      </c>
      <c r="N26" s="89">
        <f t="shared" si="8"/>
        <v>3818.5944121606917</v>
      </c>
      <c r="O26" s="89">
        <f t="shared" si="8"/>
        <v>-85000.000000000015</v>
      </c>
      <c r="P26" s="89">
        <f t="shared" si="8"/>
        <v>50699.87999999999</v>
      </c>
      <c r="Q26" s="144">
        <v>718205.2</v>
      </c>
      <c r="R26" s="152"/>
    </row>
    <row r="27" spans="1:18" x14ac:dyDescent="0.3">
      <c r="A27" s="24"/>
      <c r="B27" s="160" t="s">
        <v>68</v>
      </c>
      <c r="C27" s="91">
        <f t="shared" ref="C27:O27" si="9">SUM(C6-C25)/C6</f>
        <v>0.27377161001530959</v>
      </c>
      <c r="D27" s="91">
        <f t="shared" si="9"/>
        <v>0.43354236545911534</v>
      </c>
      <c r="E27" s="91">
        <f t="shared" si="9"/>
        <v>0.41130311164417671</v>
      </c>
      <c r="F27" s="91">
        <f t="shared" si="9"/>
        <v>0.3236550366677246</v>
      </c>
      <c r="G27" s="91">
        <f t="shared" si="9"/>
        <v>0.43003243060247515</v>
      </c>
      <c r="H27" s="91">
        <f t="shared" si="9"/>
        <v>0.36299963652946698</v>
      </c>
      <c r="I27" s="91">
        <f t="shared" si="9"/>
        <v>0.26939493114865326</v>
      </c>
      <c r="J27" s="91">
        <f t="shared" si="9"/>
        <v>0.47781936553422832</v>
      </c>
      <c r="K27" s="91">
        <f t="shared" si="9"/>
        <v>0.27127390535636353</v>
      </c>
      <c r="L27" s="91">
        <f t="shared" si="9"/>
        <v>0.34810322446629122</v>
      </c>
      <c r="M27" s="91">
        <f t="shared" si="9"/>
        <v>0.35214151597142246</v>
      </c>
      <c r="N27" s="91">
        <f t="shared" si="9"/>
        <v>0.27314929828873286</v>
      </c>
      <c r="O27" s="91" t="e">
        <f t="shared" si="9"/>
        <v>#DIV/0!</v>
      </c>
      <c r="P27" s="91">
        <f>SUM(P6-P25)/P6</f>
        <v>0.34917301584546756</v>
      </c>
      <c r="Q27" s="130">
        <v>0.31181100149669538</v>
      </c>
      <c r="R27" s="152"/>
    </row>
    <row r="28" spans="1:18" x14ac:dyDescent="0.3">
      <c r="A28" s="24"/>
      <c r="B28" s="52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  <c r="Q28" s="29"/>
      <c r="R28" s="152"/>
    </row>
    <row r="29" spans="1:18" x14ac:dyDescent="0.3">
      <c r="A29" s="24"/>
      <c r="B29" s="173" t="s">
        <v>114</v>
      </c>
      <c r="C29" s="9"/>
      <c r="D29" s="5"/>
      <c r="E29" s="5"/>
      <c r="F29" s="5"/>
      <c r="G29" s="5"/>
      <c r="H29" s="6"/>
      <c r="I29" s="6"/>
      <c r="J29" s="6"/>
      <c r="K29" s="6"/>
      <c r="L29" s="6"/>
      <c r="M29" s="6"/>
      <c r="N29" s="6"/>
      <c r="O29" s="7"/>
      <c r="P29" s="8"/>
      <c r="Q29" s="8"/>
      <c r="R29" s="152"/>
    </row>
    <row r="30" spans="1:18" x14ac:dyDescent="0.3">
      <c r="A30" s="24"/>
      <c r="B30" s="92" t="s">
        <v>115</v>
      </c>
      <c r="C30" s="172">
        <f>(C$7/$Q$7)*$Q30</f>
        <v>1898.1833869284187</v>
      </c>
      <c r="D30" s="149">
        <f t="shared" ref="D30:N30" si="10">(D$7/$Q$7)*$Q30</f>
        <v>1698.8443792102307</v>
      </c>
      <c r="E30" s="149">
        <f t="shared" si="10"/>
        <v>1466.7780717174146</v>
      </c>
      <c r="F30" s="149">
        <f t="shared" si="10"/>
        <v>1286.7779229569612</v>
      </c>
      <c r="G30" s="149">
        <f t="shared" si="10"/>
        <v>1010.0834794078341</v>
      </c>
      <c r="H30" s="149">
        <f t="shared" si="10"/>
        <v>1169.2571646753427</v>
      </c>
      <c r="I30" s="149">
        <f t="shared" si="10"/>
        <v>1136.5298649007148</v>
      </c>
      <c r="J30" s="149">
        <f t="shared" si="10"/>
        <v>1318.0176181963786</v>
      </c>
      <c r="K30" s="149">
        <f t="shared" si="10"/>
        <v>1373.0589859991619</v>
      </c>
      <c r="L30" s="149">
        <f t="shared" si="10"/>
        <v>2011.2413316044062</v>
      </c>
      <c r="M30" s="149">
        <f t="shared" si="10"/>
        <v>1898.1833869284187</v>
      </c>
      <c r="N30" s="149">
        <f t="shared" si="10"/>
        <v>1733.0444074747168</v>
      </c>
      <c r="O30" s="82">
        <v>18000</v>
      </c>
      <c r="P30" s="70">
        <f t="shared" ref="P30:P32" si="11">SUM(C30:N30)</f>
        <v>17999.999999999996</v>
      </c>
      <c r="Q30" s="141">
        <v>18000</v>
      </c>
      <c r="R30" s="152"/>
    </row>
    <row r="31" spans="1:18" x14ac:dyDescent="0.3">
      <c r="A31" s="24"/>
      <c r="B31" s="174" t="s">
        <v>116</v>
      </c>
      <c r="C31" s="148">
        <v>3492.0690017099187</v>
      </c>
      <c r="D31" s="148">
        <v>3901.8214064639719</v>
      </c>
      <c r="E31" s="148">
        <v>2645.0435083004199</v>
      </c>
      <c r="F31" s="148">
        <v>3015.0438140857964</v>
      </c>
      <c r="G31" s="148">
        <v>3015.0438140857964</v>
      </c>
      <c r="H31" s="148">
        <v>2336.2002778514693</v>
      </c>
      <c r="I31" s="148">
        <v>2403.4730607215374</v>
      </c>
      <c r="J31" s="148">
        <v>2822.3990267760551</v>
      </c>
      <c r="K31" s="148">
        <v>2709.2584374036674</v>
      </c>
      <c r="L31" s="148">
        <v>3501.8214064639701</v>
      </c>
      <c r="M31" s="148">
        <v>4134.218292742391</v>
      </c>
      <c r="N31" s="148">
        <v>3023</v>
      </c>
      <c r="O31" s="82">
        <f>SUM(C31:N31)</f>
        <v>36999.392046604997</v>
      </c>
      <c r="P31" s="70">
        <f t="shared" si="11"/>
        <v>36999.392046604997</v>
      </c>
      <c r="Q31" s="141">
        <v>37000</v>
      </c>
      <c r="R31" s="161"/>
    </row>
    <row r="32" spans="1:18" x14ac:dyDescent="0.3">
      <c r="A32" s="24"/>
      <c r="B32" s="151" t="s">
        <v>117</v>
      </c>
      <c r="C32" s="149">
        <f>(C$7/$Q$7)*$Q32</f>
        <v>5140.702430332587</v>
      </c>
      <c r="D32" s="149">
        <f t="shared" ref="D32:N32" si="12">(D$7/$Q$7)*$Q32</f>
        <v>4600.8480998744626</v>
      </c>
      <c r="E32" s="149">
        <f t="shared" si="12"/>
        <v>3972.3609688933625</v>
      </c>
      <c r="F32" s="149">
        <f t="shared" si="12"/>
        <v>3484.8805660169969</v>
      </c>
      <c r="G32" s="149">
        <f t="shared" si="12"/>
        <v>2735.530525231839</v>
      </c>
      <c r="H32" s="149">
        <f t="shared" si="12"/>
        <v>3166.6082368663115</v>
      </c>
      <c r="I32" s="149">
        <f t="shared" si="12"/>
        <v>3077.9754363433358</v>
      </c>
      <c r="J32" s="149">
        <f t="shared" si="12"/>
        <v>3569.484602879837</v>
      </c>
      <c r="K32" s="149">
        <f t="shared" si="12"/>
        <v>3718.5488583048414</v>
      </c>
      <c r="L32" s="149">
        <f t="shared" si="12"/>
        <v>5446.888468502867</v>
      </c>
      <c r="M32" s="149">
        <f t="shared" si="12"/>
        <v>5140.702430332587</v>
      </c>
      <c r="N32" s="149">
        <f t="shared" si="12"/>
        <v>4693.4693764209715</v>
      </c>
      <c r="O32" s="82">
        <v>48500</v>
      </c>
      <c r="P32" s="70">
        <f t="shared" si="11"/>
        <v>48748.000000000007</v>
      </c>
      <c r="Q32" s="141">
        <v>48748</v>
      </c>
      <c r="R32" s="152"/>
    </row>
    <row r="33" spans="1:18" x14ac:dyDescent="0.3">
      <c r="A33" s="24"/>
      <c r="B33" s="107" t="s">
        <v>118</v>
      </c>
      <c r="C33" s="72">
        <f t="shared" ref="C33:N33" si="13">SUM(C30:C32)</f>
        <v>10530.954818970924</v>
      </c>
      <c r="D33" s="73">
        <f t="shared" si="13"/>
        <v>10201.513885548666</v>
      </c>
      <c r="E33" s="73">
        <f t="shared" si="13"/>
        <v>8084.182548911198</v>
      </c>
      <c r="F33" s="73">
        <f t="shared" si="13"/>
        <v>7786.7023030597538</v>
      </c>
      <c r="G33" s="73">
        <f t="shared" si="13"/>
        <v>6760.657818725469</v>
      </c>
      <c r="H33" s="73">
        <f t="shared" si="13"/>
        <v>6672.065679393123</v>
      </c>
      <c r="I33" s="73">
        <f t="shared" si="13"/>
        <v>6617.9783619655882</v>
      </c>
      <c r="J33" s="73">
        <f t="shared" si="13"/>
        <v>7709.9012478522709</v>
      </c>
      <c r="K33" s="73">
        <f t="shared" si="13"/>
        <v>7800.8662817076711</v>
      </c>
      <c r="L33" s="73">
        <f t="shared" si="13"/>
        <v>10959.951206571244</v>
      </c>
      <c r="M33" s="73">
        <f t="shared" si="13"/>
        <v>11173.104110003396</v>
      </c>
      <c r="N33" s="73">
        <f t="shared" si="13"/>
        <v>9449.5137838956871</v>
      </c>
      <c r="O33" s="169"/>
      <c r="P33" s="75">
        <f>SUM(P30:P32)</f>
        <v>103747.392046605</v>
      </c>
      <c r="Q33" s="142">
        <v>173206.2</v>
      </c>
      <c r="R33" s="152"/>
    </row>
    <row r="34" spans="1:18" x14ac:dyDescent="0.3">
      <c r="A34" s="24"/>
      <c r="B34" s="135" t="s">
        <v>67</v>
      </c>
      <c r="C34" s="89">
        <f t="shared" ref="C34:P34" si="14">SUM(C7-C33)</f>
        <v>953.04518102907605</v>
      </c>
      <c r="D34" s="89">
        <f t="shared" si="14"/>
        <v>76.486114451334288</v>
      </c>
      <c r="E34" s="89">
        <f t="shared" si="14"/>
        <v>789.81745108880204</v>
      </c>
      <c r="F34" s="89">
        <f t="shared" si="14"/>
        <v>-1.7023030597529214</v>
      </c>
      <c r="G34" s="89">
        <f t="shared" si="14"/>
        <v>-649.65781872546904</v>
      </c>
      <c r="H34" s="89">
        <f t="shared" si="14"/>
        <v>401.93432060687701</v>
      </c>
      <c r="I34" s="89">
        <f t="shared" si="14"/>
        <v>258.02163803441181</v>
      </c>
      <c r="J34" s="89">
        <f t="shared" si="14"/>
        <v>264.0987521477291</v>
      </c>
      <c r="K34" s="89">
        <f t="shared" si="14"/>
        <v>506.13371829232892</v>
      </c>
      <c r="L34" s="89">
        <f t="shared" si="14"/>
        <v>1208.0487934287557</v>
      </c>
      <c r="M34" s="89">
        <f t="shared" si="14"/>
        <v>310.89588999660373</v>
      </c>
      <c r="N34" s="89">
        <f t="shared" si="14"/>
        <v>1035.3962161043128</v>
      </c>
      <c r="O34" s="89">
        <f t="shared" si="14"/>
        <v>0</v>
      </c>
      <c r="P34" s="89">
        <f t="shared" si="14"/>
        <v>5152.5179533949995</v>
      </c>
      <c r="Q34" s="144">
        <v>544999</v>
      </c>
      <c r="R34" s="152"/>
    </row>
    <row r="35" spans="1:18" x14ac:dyDescent="0.3">
      <c r="A35" s="24"/>
      <c r="B35" s="136" t="s">
        <v>68</v>
      </c>
      <c r="C35" s="134">
        <f t="shared" ref="C35:O35" si="15">SUM(C7-C33)/C7</f>
        <v>8.2988956899083602E-2</v>
      </c>
      <c r="D35" s="134">
        <f t="shared" si="15"/>
        <v>7.4417313145878853E-3</v>
      </c>
      <c r="E35" s="134">
        <f t="shared" si="15"/>
        <v>8.9003544183998431E-2</v>
      </c>
      <c r="F35" s="134">
        <f t="shared" si="15"/>
        <v>-2.186644906554812E-4</v>
      </c>
      <c r="G35" s="134">
        <f t="shared" si="15"/>
        <v>-0.10630957596554885</v>
      </c>
      <c r="H35" s="134">
        <f t="shared" si="15"/>
        <v>5.6818535567836725E-2</v>
      </c>
      <c r="I35" s="134">
        <f t="shared" si="15"/>
        <v>3.7524961901456051E-2</v>
      </c>
      <c r="J35" s="134">
        <f t="shared" si="15"/>
        <v>3.3119983966356799E-2</v>
      </c>
      <c r="K35" s="134">
        <f t="shared" si="15"/>
        <v>6.0928580509489461E-2</v>
      </c>
      <c r="L35" s="134">
        <f t="shared" si="15"/>
        <v>9.9280801563835938E-2</v>
      </c>
      <c r="M35" s="134">
        <f t="shared" si="15"/>
        <v>2.7072090734639825E-2</v>
      </c>
      <c r="N35" s="134">
        <f t="shared" si="15"/>
        <v>9.8751082851861655E-2</v>
      </c>
      <c r="O35" s="134" t="e">
        <f t="shared" si="15"/>
        <v>#DIV/0!</v>
      </c>
      <c r="P35" s="134">
        <f>SUM(P7-P33)/P7</f>
        <v>4.7314253550760507E-2</v>
      </c>
      <c r="Q35" s="130">
        <v>4.5695079086842186E-2</v>
      </c>
      <c r="R35" s="152"/>
    </row>
    <row r="36" spans="1:18" x14ac:dyDescent="0.3">
      <c r="A36" s="24"/>
      <c r="B36" s="52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  <c r="Q36" s="29"/>
      <c r="R36" s="152"/>
    </row>
    <row r="37" spans="1:18" x14ac:dyDescent="0.3">
      <c r="A37" s="24"/>
      <c r="B37" s="107" t="s">
        <v>119</v>
      </c>
      <c r="C37" s="9"/>
      <c r="D37" s="5"/>
      <c r="E37" s="5"/>
      <c r="F37" s="5"/>
      <c r="G37" s="5"/>
      <c r="H37" s="6"/>
      <c r="I37" s="6"/>
      <c r="J37" s="6"/>
      <c r="K37" s="6"/>
      <c r="L37" s="6"/>
      <c r="M37" s="6"/>
      <c r="N37" s="6"/>
      <c r="O37" s="7"/>
      <c r="P37" s="8"/>
      <c r="Q37" s="8"/>
      <c r="R37" s="152"/>
    </row>
    <row r="38" spans="1:18" x14ac:dyDescent="0.3">
      <c r="A38" s="24"/>
      <c r="B38" s="132" t="s">
        <v>116</v>
      </c>
      <c r="C38" s="149">
        <v>2599.8147337782329</v>
      </c>
      <c r="D38" s="149">
        <v>2692.2477582503134</v>
      </c>
      <c r="E38" s="149">
        <v>2391.855481800852</v>
      </c>
      <c r="F38" s="149">
        <v>2497.3634386344556</v>
      </c>
      <c r="G38" s="149">
        <v>2320.985558565927</v>
      </c>
      <c r="H38" s="149">
        <v>2222.7508981170959</v>
      </c>
      <c r="I38" s="149">
        <v>2432.0596148729514</v>
      </c>
      <c r="J38" s="149">
        <v>2373.4074836415684</v>
      </c>
      <c r="K38" s="149">
        <v>2661.5146719436784</v>
      </c>
      <c r="L38" s="149">
        <v>2514.6461509351616</v>
      </c>
      <c r="M38" s="149">
        <v>2638.5666869049919</v>
      </c>
      <c r="N38" s="149">
        <v>2654.8771470227803</v>
      </c>
      <c r="O38" s="82"/>
      <c r="P38" s="70">
        <f>SUM(C38:N38)</f>
        <v>30000.089624468008</v>
      </c>
      <c r="Q38" s="141">
        <v>30000</v>
      </c>
      <c r="R38" s="152"/>
    </row>
    <row r="39" spans="1:18" x14ac:dyDescent="0.3">
      <c r="A39" s="24"/>
      <c r="B39" s="132" t="s">
        <v>117</v>
      </c>
      <c r="C39" s="149">
        <f t="shared" ref="C39:N43" si="16">(C$8/$Q$8)*$Q39</f>
        <v>2692.2477582503134</v>
      </c>
      <c r="D39" s="149">
        <f t="shared" si="16"/>
        <v>2599.8147337782329</v>
      </c>
      <c r="E39" s="149">
        <f t="shared" si="16"/>
        <v>2497.3634386344556</v>
      </c>
      <c r="F39" s="149">
        <f t="shared" si="16"/>
        <v>2391.855481800852</v>
      </c>
      <c r="G39" s="149">
        <f t="shared" si="16"/>
        <v>2222.7508981170959</v>
      </c>
      <c r="H39" s="149">
        <f t="shared" si="16"/>
        <v>2320.985558565927</v>
      </c>
      <c r="I39" s="149">
        <f t="shared" si="16"/>
        <v>2373.4074836415684</v>
      </c>
      <c r="J39" s="149">
        <f t="shared" si="16"/>
        <v>2432.0596148729514</v>
      </c>
      <c r="K39" s="149">
        <f t="shared" si="16"/>
        <v>2514.6461509351616</v>
      </c>
      <c r="L39" s="149">
        <f t="shared" si="16"/>
        <v>2661.5146719436784</v>
      </c>
      <c r="M39" s="149">
        <f t="shared" si="16"/>
        <v>2654.8771470227803</v>
      </c>
      <c r="N39" s="149">
        <f t="shared" si="16"/>
        <v>2638.5666869049919</v>
      </c>
      <c r="O39" s="82">
        <v>30000</v>
      </c>
      <c r="P39" s="70">
        <f>SUM(C39:N39)</f>
        <v>30000.089624468008</v>
      </c>
      <c r="Q39" s="141">
        <v>30000</v>
      </c>
      <c r="R39" s="152"/>
    </row>
    <row r="40" spans="1:18" x14ac:dyDescent="0.3">
      <c r="A40" s="24"/>
      <c r="B40" s="132" t="s">
        <v>83</v>
      </c>
      <c r="C40" s="149">
        <f>(C$8/$Q$8)*$Q40</f>
        <v>753.82937231008771</v>
      </c>
      <c r="D40" s="149">
        <f t="shared" si="16"/>
        <v>727.94812545790523</v>
      </c>
      <c r="E40" s="149">
        <f t="shared" si="16"/>
        <v>699.26176281764754</v>
      </c>
      <c r="F40" s="149">
        <f t="shared" si="16"/>
        <v>669.71953490423857</v>
      </c>
      <c r="G40" s="149">
        <f t="shared" si="16"/>
        <v>622.37025147278678</v>
      </c>
      <c r="H40" s="149">
        <f t="shared" si="16"/>
        <v>649.87595639845949</v>
      </c>
      <c r="I40" s="149">
        <f t="shared" si="16"/>
        <v>664.55409541963911</v>
      </c>
      <c r="J40" s="149">
        <f t="shared" si="16"/>
        <v>680.97669216442637</v>
      </c>
      <c r="K40" s="149">
        <f t="shared" si="16"/>
        <v>704.1009222618452</v>
      </c>
      <c r="L40" s="149">
        <f t="shared" si="16"/>
        <v>745.22410814422994</v>
      </c>
      <c r="M40" s="149">
        <f t="shared" si="16"/>
        <v>743.3656011663785</v>
      </c>
      <c r="N40" s="149">
        <f t="shared" si="16"/>
        <v>738.79867233339769</v>
      </c>
      <c r="O40" s="82">
        <f>SUM(C40:N40)</f>
        <v>8400.025094851042</v>
      </c>
      <c r="P40" s="70">
        <f t="shared" ref="P40:P43" si="17">SUM(C40:N40)</f>
        <v>8400.025094851042</v>
      </c>
      <c r="Q40" s="141">
        <v>8400</v>
      </c>
      <c r="R40" s="152"/>
    </row>
    <row r="41" spans="1:18" x14ac:dyDescent="0.3">
      <c r="A41" s="24"/>
      <c r="B41" s="132" t="s">
        <v>84</v>
      </c>
      <c r="C41" s="149">
        <f t="shared" ref="C41:C43" si="18">(C$8/$Q$8)*$Q41</f>
        <v>188.45734307752193</v>
      </c>
      <c r="D41" s="149">
        <f t="shared" si="16"/>
        <v>181.98703136447631</v>
      </c>
      <c r="E41" s="149">
        <f t="shared" si="16"/>
        <v>174.81544070441188</v>
      </c>
      <c r="F41" s="149">
        <f t="shared" si="16"/>
        <v>167.42988372605964</v>
      </c>
      <c r="G41" s="149">
        <f t="shared" si="16"/>
        <v>155.59256286819669</v>
      </c>
      <c r="H41" s="149">
        <f t="shared" si="16"/>
        <v>162.46898909961487</v>
      </c>
      <c r="I41" s="149">
        <f t="shared" si="16"/>
        <v>166.13852385490978</v>
      </c>
      <c r="J41" s="149">
        <f t="shared" si="16"/>
        <v>170.24417304110659</v>
      </c>
      <c r="K41" s="149">
        <f t="shared" si="16"/>
        <v>176.0252305654613</v>
      </c>
      <c r="L41" s="149">
        <f t="shared" si="16"/>
        <v>186.30602703605749</v>
      </c>
      <c r="M41" s="149">
        <f t="shared" si="16"/>
        <v>185.84140029159462</v>
      </c>
      <c r="N41" s="149">
        <f t="shared" si="16"/>
        <v>184.69966808334942</v>
      </c>
      <c r="O41" s="82">
        <f>SUM(C41:N41)</f>
        <v>2100.0062737127605</v>
      </c>
      <c r="P41" s="70">
        <f t="shared" si="17"/>
        <v>2100.0062737127605</v>
      </c>
      <c r="Q41" s="141">
        <v>2100</v>
      </c>
      <c r="R41" s="152"/>
    </row>
    <row r="42" spans="1:18" x14ac:dyDescent="0.3">
      <c r="A42" s="24"/>
      <c r="B42" s="132" t="s">
        <v>85</v>
      </c>
      <c r="C42" s="149">
        <f t="shared" si="18"/>
        <v>192.94442267460579</v>
      </c>
      <c r="D42" s="149">
        <f t="shared" si="16"/>
        <v>186.32005592077337</v>
      </c>
      <c r="E42" s="149">
        <f t="shared" si="16"/>
        <v>178.97771310213599</v>
      </c>
      <c r="F42" s="149">
        <f t="shared" si="16"/>
        <v>171.41630952906107</v>
      </c>
      <c r="G42" s="149">
        <f t="shared" si="16"/>
        <v>159.29714769839185</v>
      </c>
      <c r="H42" s="149">
        <f t="shared" si="16"/>
        <v>166.33729836389142</v>
      </c>
      <c r="I42" s="149">
        <f t="shared" si="16"/>
        <v>170.09420299431241</v>
      </c>
      <c r="J42" s="149">
        <f t="shared" si="16"/>
        <v>174.29760573256152</v>
      </c>
      <c r="K42" s="149">
        <f t="shared" si="16"/>
        <v>180.21630748368659</v>
      </c>
      <c r="L42" s="149">
        <f t="shared" si="16"/>
        <v>190.74188482263028</v>
      </c>
      <c r="M42" s="149">
        <f t="shared" si="16"/>
        <v>190.26619553663258</v>
      </c>
      <c r="N42" s="149">
        <f t="shared" si="16"/>
        <v>189.0972792281911</v>
      </c>
      <c r="O42" s="82"/>
      <c r="P42" s="70">
        <f t="shared" si="17"/>
        <v>2150.0064230868738</v>
      </c>
      <c r="Q42" s="141">
        <v>2150</v>
      </c>
      <c r="R42" s="152"/>
    </row>
    <row r="43" spans="1:18" x14ac:dyDescent="0.3">
      <c r="A43" s="24"/>
      <c r="B43" s="132" t="s">
        <v>120</v>
      </c>
      <c r="C43" s="149">
        <f t="shared" si="18"/>
        <v>1088.5655102525434</v>
      </c>
      <c r="D43" s="149">
        <f t="shared" si="16"/>
        <v>1051.1917573576654</v>
      </c>
      <c r="E43" s="149">
        <f t="shared" si="16"/>
        <v>1009.7672836878648</v>
      </c>
      <c r="F43" s="149">
        <f t="shared" si="16"/>
        <v>967.10689980814448</v>
      </c>
      <c r="G43" s="149">
        <f t="shared" si="16"/>
        <v>898.73227980534568</v>
      </c>
      <c r="H43" s="149">
        <f t="shared" si="16"/>
        <v>938.45182751348977</v>
      </c>
      <c r="I43" s="149">
        <f t="shared" si="16"/>
        <v>959.64775921907415</v>
      </c>
      <c r="J43" s="149">
        <f t="shared" si="16"/>
        <v>983.36277094696334</v>
      </c>
      <c r="K43" s="149">
        <f t="shared" si="16"/>
        <v>1016.7552603614503</v>
      </c>
      <c r="L43" s="149">
        <f t="shared" si="16"/>
        <v>1076.1390990225607</v>
      </c>
      <c r="M43" s="149">
        <f t="shared" si="16"/>
        <v>1073.4553264462108</v>
      </c>
      <c r="N43" s="149">
        <f t="shared" si="16"/>
        <v>1066.8604637385849</v>
      </c>
      <c r="O43" s="82"/>
      <c r="P43" s="70">
        <f t="shared" si="17"/>
        <v>12130.036238159897</v>
      </c>
      <c r="Q43" s="141">
        <v>12130</v>
      </c>
      <c r="R43" s="152"/>
    </row>
    <row r="44" spans="1:18" x14ac:dyDescent="0.3">
      <c r="A44" s="24"/>
      <c r="B44" s="137" t="s">
        <v>121</v>
      </c>
      <c r="C44" s="75">
        <f t="shared" ref="C44:O44" si="19">SUM(C38:C43)</f>
        <v>7515.8591403433047</v>
      </c>
      <c r="D44" s="75">
        <f t="shared" si="19"/>
        <v>7439.5094621293665</v>
      </c>
      <c r="E44" s="75">
        <f t="shared" si="19"/>
        <v>6952.0411207473671</v>
      </c>
      <c r="F44" s="75">
        <f t="shared" si="19"/>
        <v>6864.8915484028112</v>
      </c>
      <c r="G44" s="75">
        <f t="shared" si="19"/>
        <v>6379.7286985277442</v>
      </c>
      <c r="H44" s="75">
        <f t="shared" si="19"/>
        <v>6460.8705280584782</v>
      </c>
      <c r="I44" s="75">
        <f t="shared" si="19"/>
        <v>6765.9016800024565</v>
      </c>
      <c r="J44" s="75">
        <f t="shared" si="19"/>
        <v>6814.3483403995779</v>
      </c>
      <c r="K44" s="75">
        <f t="shared" si="19"/>
        <v>7253.2585435512829</v>
      </c>
      <c r="L44" s="75">
        <f t="shared" si="19"/>
        <v>7374.5719419043189</v>
      </c>
      <c r="M44" s="75">
        <f t="shared" si="19"/>
        <v>7486.3723573685893</v>
      </c>
      <c r="N44" s="75">
        <f t="shared" si="19"/>
        <v>7472.8999173112952</v>
      </c>
      <c r="O44" s="75">
        <f t="shared" si="19"/>
        <v>40500.031368563803</v>
      </c>
      <c r="P44" s="75">
        <f>SUM(P38:P43)</f>
        <v>84780.25327874659</v>
      </c>
      <c r="Q44" s="142">
        <v>180957</v>
      </c>
      <c r="R44" s="152"/>
    </row>
    <row r="45" spans="1:18" x14ac:dyDescent="0.3">
      <c r="A45" s="24"/>
      <c r="B45" s="88" t="s">
        <v>67</v>
      </c>
      <c r="C45" s="89">
        <f t="shared" ref="C45:P45" si="20">SUM(C8-C44)</f>
        <v>7686.4108596566957</v>
      </c>
      <c r="D45" s="89">
        <f t="shared" si="20"/>
        <v>7240.8205378706334</v>
      </c>
      <c r="E45" s="89">
        <f t="shared" si="20"/>
        <v>7149.7788792526326</v>
      </c>
      <c r="F45" s="89">
        <f t="shared" si="20"/>
        <v>6641.1584515971881</v>
      </c>
      <c r="G45" s="89">
        <f t="shared" si="20"/>
        <v>6171.4413014722559</v>
      </c>
      <c r="H45" s="89">
        <f t="shared" si="20"/>
        <v>6644.9994719415226</v>
      </c>
      <c r="I45" s="89">
        <f t="shared" si="20"/>
        <v>6635.9783199975427</v>
      </c>
      <c r="J45" s="89">
        <f t="shared" si="20"/>
        <v>6918.7216596004218</v>
      </c>
      <c r="K45" s="89">
        <f t="shared" si="20"/>
        <v>6946.151456448717</v>
      </c>
      <c r="L45" s="89">
        <f t="shared" si="20"/>
        <v>7654.1580580956806</v>
      </c>
      <c r="M45" s="89">
        <f t="shared" si="20"/>
        <v>7504.8776426314107</v>
      </c>
      <c r="N45" s="89">
        <f t="shared" si="20"/>
        <v>7426.2500826887044</v>
      </c>
      <c r="O45" s="89">
        <f t="shared" si="20"/>
        <v>-40500.031368563803</v>
      </c>
      <c r="P45" s="89">
        <f t="shared" si="20"/>
        <v>84620.74672125341</v>
      </c>
      <c r="Q45" s="144">
        <v>364042</v>
      </c>
      <c r="R45" s="152"/>
    </row>
    <row r="46" spans="1:18" x14ac:dyDescent="0.3">
      <c r="A46" s="24"/>
      <c r="B46" s="90" t="s">
        <v>68</v>
      </c>
      <c r="C46" s="91">
        <f t="shared" ref="C46:O46" si="21">SUM(C8-C44)/C8</f>
        <v>0.50560941620275757</v>
      </c>
      <c r="D46" s="91">
        <f t="shared" si="21"/>
        <v>0.49323281819077863</v>
      </c>
      <c r="E46" s="91">
        <f t="shared" si="21"/>
        <v>0.50701107227667297</v>
      </c>
      <c r="F46" s="91">
        <f t="shared" si="21"/>
        <v>0.49171730088346988</v>
      </c>
      <c r="G46" s="91">
        <f t="shared" si="21"/>
        <v>0.49170247088297392</v>
      </c>
      <c r="H46" s="91">
        <f t="shared" si="21"/>
        <v>0.50702467458791534</v>
      </c>
      <c r="I46" s="91">
        <f t="shared" si="21"/>
        <v>0.49515279348849139</v>
      </c>
      <c r="J46" s="91">
        <f t="shared" si="21"/>
        <v>0.5038000723509326</v>
      </c>
      <c r="K46" s="91">
        <f t="shared" si="21"/>
        <v>0.48918592085507195</v>
      </c>
      <c r="L46" s="91">
        <f t="shared" si="21"/>
        <v>0.50930172130949725</v>
      </c>
      <c r="M46" s="91">
        <f t="shared" si="21"/>
        <v>0.50061720287710565</v>
      </c>
      <c r="N46" s="91">
        <f t="shared" si="21"/>
        <v>0.4984344799997788</v>
      </c>
      <c r="O46" s="91" t="e">
        <f t="shared" si="21"/>
        <v>#DIV/0!</v>
      </c>
      <c r="P46" s="91">
        <f>SUM(P8-P44)/P8</f>
        <v>0.49952920420336011</v>
      </c>
      <c r="Q46" s="130">
        <v>0.40179652447142694</v>
      </c>
      <c r="R46" s="152"/>
    </row>
    <row r="47" spans="1:18" x14ac:dyDescent="0.3">
      <c r="A47" s="24"/>
      <c r="B47" s="52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152"/>
    </row>
    <row r="48" spans="1:18" x14ac:dyDescent="0.3">
      <c r="A48" s="24"/>
      <c r="B48" s="133" t="s">
        <v>122</v>
      </c>
      <c r="C48" s="170">
        <f>SUM(C18,C25,C33,C44)</f>
        <v>86599.792823759621</v>
      </c>
      <c r="D48" s="170">
        <f t="shared" ref="D48:O48" si="22">SUM(D18,D25,D33,D44)</f>
        <v>77374.295967738042</v>
      </c>
      <c r="E48" s="170">
        <f t="shared" si="22"/>
        <v>66414.480064911797</v>
      </c>
      <c r="F48" s="170">
        <f t="shared" si="22"/>
        <v>61009.14535439769</v>
      </c>
      <c r="G48" s="170">
        <f t="shared" si="22"/>
        <v>48506.171298893525</v>
      </c>
      <c r="H48" s="170">
        <f t="shared" si="22"/>
        <v>54704.080299306203</v>
      </c>
      <c r="I48" s="170">
        <f t="shared" si="22"/>
        <v>54649.623154152432</v>
      </c>
      <c r="J48" s="170">
        <f t="shared" si="22"/>
        <v>60663.187890680201</v>
      </c>
      <c r="K48" s="170">
        <f t="shared" si="22"/>
        <v>64387.220822032512</v>
      </c>
      <c r="L48" s="170">
        <f t="shared" si="22"/>
        <v>89082.66376346779</v>
      </c>
      <c r="M48" s="170">
        <f t="shared" si="22"/>
        <v>87312.455331817357</v>
      </c>
      <c r="N48" s="170">
        <f t="shared" si="22"/>
        <v>79794.244942389807</v>
      </c>
      <c r="O48" s="170">
        <f t="shared" si="22"/>
        <v>812470.03136856377</v>
      </c>
      <c r="P48" s="170">
        <f>SUM(P18,P25,P33,P44)</f>
        <v>830497.36171354703</v>
      </c>
      <c r="Q48" s="146">
        <v>845958</v>
      </c>
      <c r="R48" s="155"/>
    </row>
    <row r="49" spans="1:18" x14ac:dyDescent="0.3">
      <c r="A49" s="24"/>
      <c r="B49" s="138" t="s">
        <v>123</v>
      </c>
      <c r="C49" s="171">
        <f t="shared" ref="C49:P49" si="23">SUM(C9-C48)</f>
        <v>38338.477176240383</v>
      </c>
      <c r="D49" s="171">
        <f t="shared" si="23"/>
        <v>35518.03403226196</v>
      </c>
      <c r="E49" s="171">
        <f t="shared" si="23"/>
        <v>32483.33993508821</v>
      </c>
      <c r="F49" s="171">
        <f t="shared" si="23"/>
        <v>26886.904645602313</v>
      </c>
      <c r="G49" s="171">
        <f t="shared" si="23"/>
        <v>22438.998701106473</v>
      </c>
      <c r="H49" s="171">
        <f t="shared" si="23"/>
        <v>25997.789700693793</v>
      </c>
      <c r="I49" s="171">
        <f t="shared" si="23"/>
        <v>24456.256845847573</v>
      </c>
      <c r="J49" s="171">
        <f t="shared" si="23"/>
        <v>29265.882109319806</v>
      </c>
      <c r="K49" s="171">
        <f t="shared" si="23"/>
        <v>29190.189177967492</v>
      </c>
      <c r="L49" s="171">
        <f t="shared" si="23"/>
        <v>42218.066236532221</v>
      </c>
      <c r="M49" s="171">
        <f t="shared" si="23"/>
        <v>37414.794668182643</v>
      </c>
      <c r="N49" s="171">
        <f t="shared" si="23"/>
        <v>35294.045057610201</v>
      </c>
      <c r="O49" s="171">
        <f t="shared" si="23"/>
        <v>-812470.03136856377</v>
      </c>
      <c r="P49" s="171">
        <f t="shared" si="23"/>
        <v>379502.7782864531</v>
      </c>
      <c r="Q49" s="150">
        <v>364042</v>
      </c>
      <c r="R49" s="155"/>
    </row>
    <row r="50" spans="1:18" x14ac:dyDescent="0.3">
      <c r="A50" s="24"/>
      <c r="B50" s="136" t="s">
        <v>124</v>
      </c>
      <c r="C50" s="139">
        <f t="shared" ref="C50:Q50" si="24">C49/C9</f>
        <v>0.30685935683470228</v>
      </c>
      <c r="D50" s="139">
        <f t="shared" si="24"/>
        <v>0.31461866392749588</v>
      </c>
      <c r="E50" s="139">
        <f t="shared" si="24"/>
        <v>0.32845354867365334</v>
      </c>
      <c r="F50" s="139">
        <f t="shared" si="24"/>
        <v>0.30589434503145835</v>
      </c>
      <c r="G50" s="139">
        <f t="shared" si="24"/>
        <v>0.31628648858134351</v>
      </c>
      <c r="H50" s="139">
        <f t="shared" si="24"/>
        <v>0.32214606304282412</v>
      </c>
      <c r="I50" s="139">
        <f t="shared" si="24"/>
        <v>0.30915852078059902</v>
      </c>
      <c r="J50" s="139">
        <f t="shared" si="24"/>
        <v>0.32543294520136595</v>
      </c>
      <c r="K50" s="139">
        <f t="shared" si="24"/>
        <v>0.31193628011255592</v>
      </c>
      <c r="L50" s="139">
        <f t="shared" si="24"/>
        <v>0.32153717832743367</v>
      </c>
      <c r="M50" s="139">
        <f t="shared" si="24"/>
        <v>0.29997289820935397</v>
      </c>
      <c r="N50" s="139">
        <f t="shared" si="24"/>
        <v>0.30666929761151374</v>
      </c>
      <c r="O50" s="139" t="e">
        <f t="shared" si="24"/>
        <v>#DIV/0!</v>
      </c>
      <c r="P50" s="139">
        <f t="shared" si="24"/>
        <v>0.31363862345210397</v>
      </c>
      <c r="Q50" s="139">
        <f t="shared" si="24"/>
        <v>0.30086115702479338</v>
      </c>
      <c r="R50" s="155"/>
    </row>
    <row r="51" spans="1:18" x14ac:dyDescent="0.3">
      <c r="A51" s="24"/>
      <c r="B51" s="52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9"/>
      <c r="R51" s="152"/>
    </row>
    <row r="52" spans="1:18" x14ac:dyDescent="0.3">
      <c r="A52" s="23"/>
      <c r="B52" s="71" t="s">
        <v>69</v>
      </c>
      <c r="C52" s="9"/>
      <c r="D52" s="5"/>
      <c r="E52" s="5"/>
      <c r="F52" s="5"/>
      <c r="G52" s="5"/>
      <c r="H52" s="6"/>
      <c r="I52" s="6"/>
      <c r="J52" s="6"/>
      <c r="K52" s="6"/>
      <c r="L52" s="6"/>
      <c r="M52" s="6"/>
      <c r="N52" s="6"/>
      <c r="O52" s="6"/>
      <c r="P52" s="8"/>
      <c r="Q52" s="8"/>
      <c r="R52" s="152"/>
    </row>
    <row r="53" spans="1:18" x14ac:dyDescent="0.3">
      <c r="A53" s="23">
        <v>6110</v>
      </c>
      <c r="B53" s="92" t="s">
        <v>70</v>
      </c>
      <c r="C53" s="93">
        <v>3667</v>
      </c>
      <c r="D53" s="94">
        <v>3667</v>
      </c>
      <c r="E53" s="94">
        <v>3667</v>
      </c>
      <c r="F53" s="94">
        <v>3667</v>
      </c>
      <c r="G53" s="94">
        <v>3667</v>
      </c>
      <c r="H53" s="94">
        <v>3667</v>
      </c>
      <c r="I53" s="94">
        <v>3667</v>
      </c>
      <c r="J53" s="94">
        <v>3667</v>
      </c>
      <c r="K53" s="94">
        <v>3667</v>
      </c>
      <c r="L53" s="94">
        <v>3667</v>
      </c>
      <c r="M53" s="94">
        <v>3667</v>
      </c>
      <c r="N53" s="94">
        <v>3667</v>
      </c>
      <c r="O53" s="82">
        <f t="shared" ref="O53:O70" si="25">SUM(C53:N53)</f>
        <v>44004</v>
      </c>
      <c r="P53" s="70">
        <f>SUM(C53:N53)</f>
        <v>44004</v>
      </c>
      <c r="Q53" s="141">
        <v>44004</v>
      </c>
      <c r="R53" s="155"/>
    </row>
    <row r="54" spans="1:18" x14ac:dyDescent="0.3">
      <c r="A54" s="16">
        <v>6120</v>
      </c>
      <c r="B54" s="96" t="s">
        <v>71</v>
      </c>
      <c r="C54" s="83">
        <v>910</v>
      </c>
      <c r="D54" s="83">
        <v>280</v>
      </c>
      <c r="E54" s="83">
        <v>560</v>
      </c>
      <c r="F54" s="83">
        <v>350</v>
      </c>
      <c r="G54" s="83">
        <v>280</v>
      </c>
      <c r="H54" s="83">
        <v>350</v>
      </c>
      <c r="I54" s="83">
        <v>490</v>
      </c>
      <c r="J54" s="83">
        <v>700</v>
      </c>
      <c r="K54" s="83">
        <v>420</v>
      </c>
      <c r="L54" s="83">
        <v>1190</v>
      </c>
      <c r="M54" s="83">
        <v>1120</v>
      </c>
      <c r="N54" s="83">
        <v>350</v>
      </c>
      <c r="O54" s="82">
        <f t="shared" si="25"/>
        <v>7000</v>
      </c>
      <c r="P54" s="70">
        <f t="shared" ref="P54:P70" si="26">SUM(C54:N54)</f>
        <v>7000</v>
      </c>
      <c r="Q54" s="141">
        <v>7000</v>
      </c>
      <c r="R54" s="155"/>
    </row>
    <row r="55" spans="1:18" x14ac:dyDescent="0.3">
      <c r="A55" s="16">
        <v>6130</v>
      </c>
      <c r="B55" s="97" t="s">
        <v>72</v>
      </c>
      <c r="C55" s="94">
        <v>120</v>
      </c>
      <c r="D55" s="94">
        <v>160</v>
      </c>
      <c r="E55" s="94">
        <v>230</v>
      </c>
      <c r="F55" s="94">
        <v>270</v>
      </c>
      <c r="G55" s="94">
        <v>290</v>
      </c>
      <c r="H55" s="94">
        <v>350</v>
      </c>
      <c r="I55" s="94">
        <v>470</v>
      </c>
      <c r="J55" s="94">
        <v>750</v>
      </c>
      <c r="K55" s="94">
        <v>1100</v>
      </c>
      <c r="L55" s="94">
        <v>3100</v>
      </c>
      <c r="M55" s="94">
        <v>2130</v>
      </c>
      <c r="N55" s="94">
        <v>2030</v>
      </c>
      <c r="O55" s="82">
        <f t="shared" si="25"/>
        <v>11000</v>
      </c>
      <c r="P55" s="70">
        <f t="shared" si="26"/>
        <v>11000</v>
      </c>
      <c r="Q55" s="141">
        <v>11000</v>
      </c>
      <c r="R55" s="155"/>
    </row>
    <row r="56" spans="1:18" x14ac:dyDescent="0.3">
      <c r="A56" s="16">
        <v>6140</v>
      </c>
      <c r="B56" s="97" t="s">
        <v>73</v>
      </c>
      <c r="C56" s="94">
        <v>1083</v>
      </c>
      <c r="D56" s="94">
        <v>1083</v>
      </c>
      <c r="E56" s="94">
        <v>1083</v>
      </c>
      <c r="F56" s="94">
        <v>1083</v>
      </c>
      <c r="G56" s="94">
        <v>1083</v>
      </c>
      <c r="H56" s="94">
        <v>1083</v>
      </c>
      <c r="I56" s="94">
        <v>1083</v>
      </c>
      <c r="J56" s="94">
        <v>1083</v>
      </c>
      <c r="K56" s="94">
        <v>1083</v>
      </c>
      <c r="L56" s="94">
        <v>1083</v>
      </c>
      <c r="M56" s="94">
        <v>1083</v>
      </c>
      <c r="N56" s="94">
        <v>1087</v>
      </c>
      <c r="O56" s="82">
        <f t="shared" si="25"/>
        <v>13000</v>
      </c>
      <c r="P56" s="70">
        <f t="shared" si="26"/>
        <v>13000</v>
      </c>
      <c r="Q56" s="141">
        <v>13000</v>
      </c>
      <c r="R56" s="155"/>
    </row>
    <row r="57" spans="1:18" x14ac:dyDescent="0.3">
      <c r="A57" s="16">
        <v>6150</v>
      </c>
      <c r="B57" s="97" t="s">
        <v>74</v>
      </c>
      <c r="C57" s="94">
        <v>1250</v>
      </c>
      <c r="D57" s="94">
        <v>1150</v>
      </c>
      <c r="E57" s="94">
        <v>1150</v>
      </c>
      <c r="F57" s="94">
        <v>850</v>
      </c>
      <c r="G57" s="94">
        <v>700</v>
      </c>
      <c r="H57" s="94">
        <v>1050</v>
      </c>
      <c r="I57" s="94">
        <v>1300</v>
      </c>
      <c r="J57" s="94">
        <v>1350</v>
      </c>
      <c r="K57" s="94">
        <v>1000</v>
      </c>
      <c r="L57" s="94">
        <v>900</v>
      </c>
      <c r="M57" s="94">
        <v>1100</v>
      </c>
      <c r="N57" s="94">
        <v>1200</v>
      </c>
      <c r="O57" s="82">
        <f t="shared" si="25"/>
        <v>13000</v>
      </c>
      <c r="P57" s="70">
        <f t="shared" si="26"/>
        <v>13000</v>
      </c>
      <c r="Q57" s="141">
        <v>13000</v>
      </c>
      <c r="R57" s="155"/>
    </row>
    <row r="58" spans="1:18" x14ac:dyDescent="0.3">
      <c r="A58" s="16">
        <v>6160</v>
      </c>
      <c r="B58" s="97" t="s">
        <v>75</v>
      </c>
      <c r="C58" s="94">
        <v>1200</v>
      </c>
      <c r="D58" s="94">
        <v>800</v>
      </c>
      <c r="E58" s="94">
        <v>900</v>
      </c>
      <c r="F58" s="94">
        <v>1100</v>
      </c>
      <c r="G58" s="94">
        <v>500</v>
      </c>
      <c r="H58" s="94">
        <v>1500</v>
      </c>
      <c r="I58" s="94">
        <v>1000</v>
      </c>
      <c r="J58" s="94">
        <v>1000</v>
      </c>
      <c r="K58" s="94">
        <v>700</v>
      </c>
      <c r="L58" s="94">
        <v>1300</v>
      </c>
      <c r="M58" s="94">
        <v>1100</v>
      </c>
      <c r="N58" s="94">
        <v>900</v>
      </c>
      <c r="O58" s="82">
        <f t="shared" si="25"/>
        <v>12000</v>
      </c>
      <c r="P58" s="70">
        <f t="shared" si="26"/>
        <v>12000</v>
      </c>
      <c r="Q58" s="141">
        <v>12000</v>
      </c>
      <c r="R58" s="155"/>
    </row>
    <row r="59" spans="1:18" x14ac:dyDescent="0.3">
      <c r="A59" s="16">
        <v>6170</v>
      </c>
      <c r="B59" s="81" t="s">
        <v>76</v>
      </c>
      <c r="C59" s="83">
        <v>2470</v>
      </c>
      <c r="D59" s="83">
        <v>760</v>
      </c>
      <c r="E59" s="83">
        <v>1520</v>
      </c>
      <c r="F59" s="83">
        <v>950</v>
      </c>
      <c r="G59" s="83">
        <v>760</v>
      </c>
      <c r="H59" s="83">
        <v>950</v>
      </c>
      <c r="I59" s="83">
        <v>1330</v>
      </c>
      <c r="J59" s="83">
        <v>1900</v>
      </c>
      <c r="K59" s="83">
        <v>1140</v>
      </c>
      <c r="L59" s="83">
        <v>3230</v>
      </c>
      <c r="M59" s="83">
        <v>3040</v>
      </c>
      <c r="N59" s="83">
        <v>950</v>
      </c>
      <c r="O59" s="82">
        <f t="shared" si="25"/>
        <v>19000</v>
      </c>
      <c r="P59" s="70">
        <f t="shared" si="26"/>
        <v>19000</v>
      </c>
      <c r="Q59" s="141">
        <v>19000</v>
      </c>
      <c r="R59" s="155"/>
    </row>
    <row r="60" spans="1:18" x14ac:dyDescent="0.3">
      <c r="A60" s="16">
        <v>6180</v>
      </c>
      <c r="B60" s="97" t="s">
        <v>77</v>
      </c>
      <c r="C60" s="94">
        <v>250</v>
      </c>
      <c r="D60" s="94">
        <v>250</v>
      </c>
      <c r="E60" s="94">
        <v>250</v>
      </c>
      <c r="F60" s="94">
        <v>250</v>
      </c>
      <c r="G60" s="94">
        <v>250</v>
      </c>
      <c r="H60" s="94">
        <v>250</v>
      </c>
      <c r="I60" s="94">
        <v>250</v>
      </c>
      <c r="J60" s="94">
        <v>250</v>
      </c>
      <c r="K60" s="94">
        <v>250</v>
      </c>
      <c r="L60" s="94">
        <v>250</v>
      </c>
      <c r="M60" s="94">
        <v>250</v>
      </c>
      <c r="N60" s="94">
        <v>250</v>
      </c>
      <c r="O60" s="82">
        <f t="shared" si="25"/>
        <v>3000</v>
      </c>
      <c r="P60" s="70">
        <f t="shared" si="26"/>
        <v>3000</v>
      </c>
      <c r="Q60" s="141">
        <v>3000</v>
      </c>
      <c r="R60" s="155"/>
    </row>
    <row r="61" spans="1:18" x14ac:dyDescent="0.3">
      <c r="A61" s="16">
        <v>6190</v>
      </c>
      <c r="B61" s="97" t="s">
        <v>78</v>
      </c>
      <c r="C61" s="94">
        <v>250</v>
      </c>
      <c r="D61" s="94">
        <v>250</v>
      </c>
      <c r="E61" s="94">
        <v>250</v>
      </c>
      <c r="F61" s="94">
        <v>250</v>
      </c>
      <c r="G61" s="94">
        <v>250</v>
      </c>
      <c r="H61" s="94">
        <v>250</v>
      </c>
      <c r="I61" s="94">
        <v>250</v>
      </c>
      <c r="J61" s="94">
        <v>250</v>
      </c>
      <c r="K61" s="94">
        <v>250</v>
      </c>
      <c r="L61" s="94">
        <v>250</v>
      </c>
      <c r="M61" s="94">
        <v>250</v>
      </c>
      <c r="N61" s="94">
        <v>250</v>
      </c>
      <c r="O61" s="82">
        <f t="shared" si="25"/>
        <v>3000</v>
      </c>
      <c r="P61" s="70">
        <f t="shared" si="26"/>
        <v>3000</v>
      </c>
      <c r="Q61" s="141">
        <v>3000</v>
      </c>
      <c r="R61" s="155"/>
    </row>
    <row r="62" spans="1:18" x14ac:dyDescent="0.3">
      <c r="A62" s="16">
        <v>6220</v>
      </c>
      <c r="B62" s="99" t="s">
        <v>81</v>
      </c>
      <c r="C62" s="94">
        <v>4166.666666666667</v>
      </c>
      <c r="D62" s="94">
        <v>4166.666666666667</v>
      </c>
      <c r="E62" s="94">
        <v>4166.666666666667</v>
      </c>
      <c r="F62" s="94">
        <v>4166.666666666667</v>
      </c>
      <c r="G62" s="94">
        <v>4166.666666666667</v>
      </c>
      <c r="H62" s="94">
        <v>4166.666666666667</v>
      </c>
      <c r="I62" s="94">
        <v>4166.666666666667</v>
      </c>
      <c r="J62" s="94">
        <v>4166.666666666667</v>
      </c>
      <c r="K62" s="94">
        <v>4166.666666666667</v>
      </c>
      <c r="L62" s="94">
        <v>4166.666666666667</v>
      </c>
      <c r="M62" s="94">
        <v>4166.666666666667</v>
      </c>
      <c r="N62" s="94">
        <v>4166.666666666667</v>
      </c>
      <c r="O62" s="82">
        <f t="shared" si="25"/>
        <v>49999.999999999993</v>
      </c>
      <c r="P62" s="70">
        <f t="shared" si="26"/>
        <v>49999.999999999993</v>
      </c>
      <c r="Q62" s="141">
        <v>49999.999999999993</v>
      </c>
      <c r="R62" s="155"/>
    </row>
    <row r="63" spans="1:18" x14ac:dyDescent="0.3">
      <c r="A63" s="16">
        <v>6230</v>
      </c>
      <c r="B63" s="97" t="s">
        <v>82</v>
      </c>
      <c r="C63" s="94">
        <f t="shared" ref="C63:N63" si="27">SUM((C62+C39+C16+C30)*0.1049)</f>
        <v>1683.5981519884429</v>
      </c>
      <c r="D63" s="94">
        <f t="shared" si="27"/>
        <v>1632.3372245385917</v>
      </c>
      <c r="E63" s="94">
        <f t="shared" si="27"/>
        <v>1447.4794575846822</v>
      </c>
      <c r="F63" s="94">
        <f t="shared" si="27"/>
        <v>1383.8567469045513</v>
      </c>
      <c r="G63" s="94">
        <f t="shared" si="27"/>
        <v>1200.0386874952258</v>
      </c>
      <c r="H63" s="94">
        <f t="shared" si="27"/>
        <v>1293.8301012991162</v>
      </c>
      <c r="I63" s="94">
        <f t="shared" si="27"/>
        <v>1282.1636925077585</v>
      </c>
      <c r="J63" s="94">
        <f t="shared" si="27"/>
        <v>1435.9155005148393</v>
      </c>
      <c r="K63" s="94">
        <f t="shared" si="27"/>
        <v>1368.6034939519518</v>
      </c>
      <c r="L63" s="94">
        <f t="shared" si="27"/>
        <v>1666.2578485623956</v>
      </c>
      <c r="M63" s="94">
        <f t="shared" si="27"/>
        <v>1816.047974870675</v>
      </c>
      <c r="N63" s="94">
        <f t="shared" si="27"/>
        <v>1622.8507705101561</v>
      </c>
      <c r="O63" s="94">
        <f t="shared" ref="O63" si="28">SUM(O62*0.1059)</f>
        <v>5294.9999999999991</v>
      </c>
      <c r="P63" s="70">
        <f t="shared" si="26"/>
        <v>17832.979650728386</v>
      </c>
      <c r="Q63" s="145">
        <v>5294.9999999999991</v>
      </c>
      <c r="R63" s="155"/>
    </row>
    <row r="64" spans="1:18" x14ac:dyDescent="0.3">
      <c r="A64" s="16">
        <v>6240</v>
      </c>
      <c r="B64" s="97" t="s">
        <v>83</v>
      </c>
      <c r="C64" s="94">
        <f>$P64/12</f>
        <v>1550</v>
      </c>
      <c r="D64" s="94">
        <f t="shared" ref="D64:N64" si="29">$P64/12</f>
        <v>1550</v>
      </c>
      <c r="E64" s="94">
        <f t="shared" si="29"/>
        <v>1550</v>
      </c>
      <c r="F64" s="94">
        <f t="shared" si="29"/>
        <v>1550</v>
      </c>
      <c r="G64" s="94">
        <f t="shared" si="29"/>
        <v>1550</v>
      </c>
      <c r="H64" s="94">
        <f t="shared" si="29"/>
        <v>1550</v>
      </c>
      <c r="I64" s="94">
        <f t="shared" si="29"/>
        <v>1550</v>
      </c>
      <c r="J64" s="94">
        <f t="shared" si="29"/>
        <v>1550</v>
      </c>
      <c r="K64" s="94">
        <f t="shared" si="29"/>
        <v>1550</v>
      </c>
      <c r="L64" s="94">
        <f t="shared" si="29"/>
        <v>1550</v>
      </c>
      <c r="M64" s="94">
        <f t="shared" si="29"/>
        <v>1550</v>
      </c>
      <c r="N64" s="94">
        <f t="shared" si="29"/>
        <v>1550</v>
      </c>
      <c r="O64" s="82">
        <f t="shared" si="25"/>
        <v>18600</v>
      </c>
      <c r="P64" s="70">
        <v>18600</v>
      </c>
      <c r="Q64" s="147">
        <v>15600</v>
      </c>
      <c r="R64" s="155"/>
    </row>
    <row r="65" spans="1:18" x14ac:dyDescent="0.3">
      <c r="A65" s="16">
        <v>6250</v>
      </c>
      <c r="B65" s="81" t="s">
        <v>84</v>
      </c>
      <c r="C65" s="94">
        <v>225</v>
      </c>
      <c r="D65" s="94">
        <v>225</v>
      </c>
      <c r="E65" s="94">
        <v>225</v>
      </c>
      <c r="F65" s="94">
        <v>225</v>
      </c>
      <c r="G65" s="94">
        <v>225</v>
      </c>
      <c r="H65" s="94">
        <v>225</v>
      </c>
      <c r="I65" s="94">
        <v>225</v>
      </c>
      <c r="J65" s="94">
        <v>225</v>
      </c>
      <c r="K65" s="94">
        <v>225</v>
      </c>
      <c r="L65" s="94">
        <v>225</v>
      </c>
      <c r="M65" s="94">
        <v>225</v>
      </c>
      <c r="N65" s="94">
        <v>225</v>
      </c>
      <c r="O65" s="82">
        <f t="shared" si="25"/>
        <v>2700</v>
      </c>
      <c r="P65" s="70">
        <f t="shared" si="26"/>
        <v>2700</v>
      </c>
      <c r="Q65" s="147">
        <v>2700</v>
      </c>
      <c r="R65" s="155"/>
    </row>
    <row r="66" spans="1:18" x14ac:dyDescent="0.3">
      <c r="A66" s="16">
        <v>6260</v>
      </c>
      <c r="B66" s="81" t="s">
        <v>85</v>
      </c>
      <c r="C66" s="165" t="s">
        <v>125</v>
      </c>
      <c r="D66" s="165" t="s">
        <v>125</v>
      </c>
      <c r="E66" s="165">
        <v>1200</v>
      </c>
      <c r="F66" s="165">
        <v>450</v>
      </c>
      <c r="G66" s="165" t="s">
        <v>126</v>
      </c>
      <c r="H66" s="165">
        <v>600</v>
      </c>
      <c r="I66" s="165" t="s">
        <v>126</v>
      </c>
      <c r="J66" s="165" t="s">
        <v>126</v>
      </c>
      <c r="K66" s="165">
        <v>1600</v>
      </c>
      <c r="L66" s="165" t="s">
        <v>126</v>
      </c>
      <c r="M66" s="165">
        <v>0</v>
      </c>
      <c r="N66" s="165" t="s">
        <v>126</v>
      </c>
      <c r="O66" s="82">
        <f t="shared" si="25"/>
        <v>3850</v>
      </c>
      <c r="P66" s="70">
        <f t="shared" si="26"/>
        <v>3850</v>
      </c>
      <c r="Q66" s="147">
        <v>3850</v>
      </c>
      <c r="R66" s="155"/>
    </row>
    <row r="67" spans="1:18" x14ac:dyDescent="0.3">
      <c r="A67" s="16">
        <v>6270</v>
      </c>
      <c r="B67" s="81" t="s">
        <v>86</v>
      </c>
      <c r="C67" s="166">
        <v>910</v>
      </c>
      <c r="D67" s="166">
        <v>180</v>
      </c>
      <c r="E67" s="166">
        <v>360</v>
      </c>
      <c r="F67" s="166">
        <v>150</v>
      </c>
      <c r="G67" s="166">
        <v>250</v>
      </c>
      <c r="H67" s="166">
        <v>250</v>
      </c>
      <c r="I67" s="166">
        <v>220</v>
      </c>
      <c r="J67" s="166">
        <v>325</v>
      </c>
      <c r="K67" s="166">
        <v>130</v>
      </c>
      <c r="L67" s="166">
        <v>900</v>
      </c>
      <c r="M67" s="166">
        <v>1020</v>
      </c>
      <c r="N67" s="166">
        <v>175</v>
      </c>
      <c r="O67" s="82">
        <f t="shared" si="25"/>
        <v>4870</v>
      </c>
      <c r="P67" s="70">
        <f t="shared" si="26"/>
        <v>4870</v>
      </c>
      <c r="Q67" s="147">
        <v>4870</v>
      </c>
      <c r="R67" s="155"/>
    </row>
    <row r="68" spans="1:18" x14ac:dyDescent="0.3">
      <c r="A68" s="16">
        <v>6280</v>
      </c>
      <c r="B68" s="97" t="s">
        <v>87</v>
      </c>
      <c r="C68" s="165">
        <v>1250</v>
      </c>
      <c r="D68" s="165">
        <v>1250</v>
      </c>
      <c r="E68" s="165">
        <v>1250</v>
      </c>
      <c r="F68" s="165">
        <v>1250</v>
      </c>
      <c r="G68" s="165">
        <v>1250</v>
      </c>
      <c r="H68" s="165">
        <v>1250</v>
      </c>
      <c r="I68" s="165">
        <v>1250</v>
      </c>
      <c r="J68" s="165">
        <v>1250</v>
      </c>
      <c r="K68" s="165">
        <v>1250</v>
      </c>
      <c r="L68" s="165">
        <v>1250</v>
      </c>
      <c r="M68" s="165">
        <v>1250</v>
      </c>
      <c r="N68" s="165">
        <v>1250</v>
      </c>
      <c r="O68" s="82">
        <f t="shared" si="25"/>
        <v>15000</v>
      </c>
      <c r="P68" s="70">
        <f t="shared" si="26"/>
        <v>15000</v>
      </c>
      <c r="Q68" s="141">
        <v>15000</v>
      </c>
      <c r="R68" s="155"/>
    </row>
    <row r="69" spans="1:18" x14ac:dyDescent="0.3">
      <c r="A69" s="16">
        <v>6290</v>
      </c>
      <c r="B69" s="97" t="s">
        <v>88</v>
      </c>
      <c r="C69" s="167">
        <v>667</v>
      </c>
      <c r="D69" s="167">
        <v>667</v>
      </c>
      <c r="E69" s="167">
        <v>667</v>
      </c>
      <c r="F69" s="167">
        <v>667</v>
      </c>
      <c r="G69" s="167">
        <v>667</v>
      </c>
      <c r="H69" s="167">
        <v>667</v>
      </c>
      <c r="I69" s="167">
        <v>667</v>
      </c>
      <c r="J69" s="167">
        <v>667</v>
      </c>
      <c r="K69" s="167">
        <v>667</v>
      </c>
      <c r="L69" s="167">
        <v>667</v>
      </c>
      <c r="M69" s="167">
        <v>667</v>
      </c>
      <c r="N69" s="167">
        <v>667</v>
      </c>
      <c r="O69" s="82">
        <f t="shared" si="25"/>
        <v>8004</v>
      </c>
      <c r="P69" s="70">
        <f t="shared" si="26"/>
        <v>8004</v>
      </c>
      <c r="Q69" s="141">
        <v>8004</v>
      </c>
      <c r="R69" s="155"/>
    </row>
    <row r="70" spans="1:18" x14ac:dyDescent="0.3">
      <c r="A70" s="16">
        <v>6300</v>
      </c>
      <c r="B70" s="101" t="s">
        <v>89</v>
      </c>
      <c r="C70" s="168" t="s">
        <v>125</v>
      </c>
      <c r="D70" s="168" t="s">
        <v>126</v>
      </c>
      <c r="E70" s="168">
        <v>1700</v>
      </c>
      <c r="F70" s="168" t="s">
        <v>126</v>
      </c>
      <c r="G70" s="168" t="s">
        <v>126</v>
      </c>
      <c r="H70" s="168">
        <v>2800</v>
      </c>
      <c r="I70" s="168" t="s">
        <v>126</v>
      </c>
      <c r="J70" s="168" t="s">
        <v>126</v>
      </c>
      <c r="K70" s="168">
        <v>2500</v>
      </c>
      <c r="L70" s="168" t="s">
        <v>126</v>
      </c>
      <c r="M70" s="168" t="s">
        <v>126</v>
      </c>
      <c r="N70" s="168" t="s">
        <v>126</v>
      </c>
      <c r="O70" s="103">
        <f t="shared" si="25"/>
        <v>7000</v>
      </c>
      <c r="P70" s="70">
        <f t="shared" si="26"/>
        <v>7000</v>
      </c>
      <c r="Q70" s="141">
        <v>7000</v>
      </c>
      <c r="R70" s="155"/>
    </row>
    <row r="71" spans="1:18" x14ac:dyDescent="0.3">
      <c r="A71" s="16"/>
      <c r="B71" s="104" t="s">
        <v>90</v>
      </c>
      <c r="C71" s="75">
        <f t="shared" ref="C71:P71" si="30">SUM(C53:C70)</f>
        <v>21652.264818655112</v>
      </c>
      <c r="D71" s="75">
        <f t="shared" si="30"/>
        <v>18071.003891205259</v>
      </c>
      <c r="E71" s="75">
        <f t="shared" si="30"/>
        <v>22176.146124251351</v>
      </c>
      <c r="F71" s="75">
        <f t="shared" si="30"/>
        <v>18612.52341357122</v>
      </c>
      <c r="G71" s="75">
        <f t="shared" si="30"/>
        <v>17088.705354161895</v>
      </c>
      <c r="H71" s="75">
        <f t="shared" si="30"/>
        <v>22252.496767965786</v>
      </c>
      <c r="I71" s="75">
        <f t="shared" si="30"/>
        <v>19200.830359174426</v>
      </c>
      <c r="J71" s="75">
        <f t="shared" si="30"/>
        <v>20569.582167181507</v>
      </c>
      <c r="K71" s="75">
        <f t="shared" si="30"/>
        <v>23067.27016061862</v>
      </c>
      <c r="L71" s="75">
        <f t="shared" si="30"/>
        <v>25394.924515229064</v>
      </c>
      <c r="M71" s="75">
        <f t="shared" si="30"/>
        <v>24434.714641537343</v>
      </c>
      <c r="N71" s="75">
        <f t="shared" si="30"/>
        <v>20340.517437176823</v>
      </c>
      <c r="O71" s="75">
        <f t="shared" si="30"/>
        <v>240323</v>
      </c>
      <c r="P71" s="75">
        <f t="shared" si="30"/>
        <v>252860.97965072838</v>
      </c>
      <c r="Q71" s="142">
        <v>237323</v>
      </c>
      <c r="R71" s="155"/>
    </row>
    <row r="72" spans="1:18" x14ac:dyDescent="0.3">
      <c r="A72" s="23"/>
      <c r="B72" s="107" t="s">
        <v>91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9"/>
      <c r="Q72" s="109"/>
      <c r="R72" s="155"/>
    </row>
    <row r="73" spans="1:18" x14ac:dyDescent="0.3">
      <c r="A73" s="23">
        <v>6310</v>
      </c>
      <c r="B73" s="110" t="s">
        <v>92</v>
      </c>
      <c r="C73" s="102">
        <f t="shared" ref="C73:N75" si="31">$P73/12</f>
        <v>1250</v>
      </c>
      <c r="D73" s="102">
        <f t="shared" si="31"/>
        <v>1250</v>
      </c>
      <c r="E73" s="102">
        <f t="shared" si="31"/>
        <v>1250</v>
      </c>
      <c r="F73" s="102">
        <f t="shared" si="31"/>
        <v>1250</v>
      </c>
      <c r="G73" s="102">
        <f t="shared" si="31"/>
        <v>1250</v>
      </c>
      <c r="H73" s="102">
        <f t="shared" si="31"/>
        <v>1250</v>
      </c>
      <c r="I73" s="102">
        <f t="shared" si="31"/>
        <v>1250</v>
      </c>
      <c r="J73" s="102">
        <f t="shared" si="31"/>
        <v>1250</v>
      </c>
      <c r="K73" s="102">
        <f t="shared" si="31"/>
        <v>1250</v>
      </c>
      <c r="L73" s="102">
        <f t="shared" si="31"/>
        <v>1250</v>
      </c>
      <c r="M73" s="102">
        <f t="shared" si="31"/>
        <v>1250</v>
      </c>
      <c r="N73" s="102">
        <f t="shared" si="31"/>
        <v>1250</v>
      </c>
      <c r="O73" s="111">
        <f>SUM(C73:N73)</f>
        <v>15000</v>
      </c>
      <c r="P73" s="70">
        <v>15000</v>
      </c>
      <c r="Q73" s="141">
        <v>15000</v>
      </c>
      <c r="R73" s="155"/>
    </row>
    <row r="74" spans="1:18" x14ac:dyDescent="0.3">
      <c r="A74" s="24">
        <v>6320</v>
      </c>
      <c r="B74" s="110" t="s">
        <v>93</v>
      </c>
      <c r="C74" s="102">
        <f t="shared" si="31"/>
        <v>2500</v>
      </c>
      <c r="D74" s="102">
        <f t="shared" si="31"/>
        <v>2500</v>
      </c>
      <c r="E74" s="102">
        <f t="shared" si="31"/>
        <v>2500</v>
      </c>
      <c r="F74" s="102">
        <f t="shared" si="31"/>
        <v>2500</v>
      </c>
      <c r="G74" s="102">
        <f t="shared" si="31"/>
        <v>2500</v>
      </c>
      <c r="H74" s="102">
        <f t="shared" si="31"/>
        <v>2500</v>
      </c>
      <c r="I74" s="102">
        <f t="shared" si="31"/>
        <v>2500</v>
      </c>
      <c r="J74" s="102">
        <f t="shared" si="31"/>
        <v>2500</v>
      </c>
      <c r="K74" s="102">
        <f t="shared" si="31"/>
        <v>2500</v>
      </c>
      <c r="L74" s="102">
        <f t="shared" si="31"/>
        <v>2500</v>
      </c>
      <c r="M74" s="102">
        <f t="shared" si="31"/>
        <v>2500</v>
      </c>
      <c r="N74" s="102">
        <f t="shared" si="31"/>
        <v>2500</v>
      </c>
      <c r="O74" s="111">
        <f>SUM(C74:N74)</f>
        <v>30000</v>
      </c>
      <c r="P74" s="70">
        <v>30000</v>
      </c>
      <c r="Q74" s="141">
        <v>30000</v>
      </c>
      <c r="R74" s="154"/>
    </row>
    <row r="75" spans="1:18" x14ac:dyDescent="0.3">
      <c r="A75" s="23">
        <v>6330</v>
      </c>
      <c r="B75" s="110" t="s">
        <v>94</v>
      </c>
      <c r="C75" s="102">
        <f t="shared" si="31"/>
        <v>1000</v>
      </c>
      <c r="D75" s="102">
        <f t="shared" si="31"/>
        <v>1000</v>
      </c>
      <c r="E75" s="102">
        <f t="shared" si="31"/>
        <v>1000</v>
      </c>
      <c r="F75" s="102">
        <f t="shared" si="31"/>
        <v>1000</v>
      </c>
      <c r="G75" s="102">
        <f t="shared" si="31"/>
        <v>1000</v>
      </c>
      <c r="H75" s="102">
        <f t="shared" si="31"/>
        <v>1000</v>
      </c>
      <c r="I75" s="102">
        <f t="shared" si="31"/>
        <v>1000</v>
      </c>
      <c r="J75" s="102">
        <f t="shared" si="31"/>
        <v>1000</v>
      </c>
      <c r="K75" s="102">
        <f t="shared" si="31"/>
        <v>1000</v>
      </c>
      <c r="L75" s="102">
        <f t="shared" si="31"/>
        <v>1000</v>
      </c>
      <c r="M75" s="102">
        <f t="shared" si="31"/>
        <v>1000</v>
      </c>
      <c r="N75" s="102">
        <f t="shared" si="31"/>
        <v>1000</v>
      </c>
      <c r="O75" s="111">
        <f>SUM(C75:N75)</f>
        <v>12000</v>
      </c>
      <c r="P75" s="70">
        <v>12000</v>
      </c>
      <c r="Q75" s="141">
        <v>12000</v>
      </c>
      <c r="R75" s="155"/>
    </row>
    <row r="76" spans="1:18" x14ac:dyDescent="0.3">
      <c r="A76" s="23"/>
      <c r="B76" s="112" t="s">
        <v>95</v>
      </c>
      <c r="C76" s="113">
        <f t="shared" ref="C76:P76" si="32">SUM(C73:C75)</f>
        <v>4750</v>
      </c>
      <c r="D76" s="113">
        <f t="shared" si="32"/>
        <v>4750</v>
      </c>
      <c r="E76" s="113">
        <f t="shared" si="32"/>
        <v>4750</v>
      </c>
      <c r="F76" s="113">
        <f t="shared" si="32"/>
        <v>4750</v>
      </c>
      <c r="G76" s="113">
        <f t="shared" si="32"/>
        <v>4750</v>
      </c>
      <c r="H76" s="113">
        <f t="shared" si="32"/>
        <v>4750</v>
      </c>
      <c r="I76" s="113">
        <f t="shared" si="32"/>
        <v>4750</v>
      </c>
      <c r="J76" s="113">
        <f t="shared" si="32"/>
        <v>4750</v>
      </c>
      <c r="K76" s="113">
        <f t="shared" si="32"/>
        <v>4750</v>
      </c>
      <c r="L76" s="113">
        <f t="shared" si="32"/>
        <v>4750</v>
      </c>
      <c r="M76" s="113">
        <f t="shared" si="32"/>
        <v>4750</v>
      </c>
      <c r="N76" s="113">
        <f t="shared" si="32"/>
        <v>4750</v>
      </c>
      <c r="O76" s="113">
        <f t="shared" si="32"/>
        <v>57000</v>
      </c>
      <c r="P76" s="114">
        <f t="shared" si="32"/>
        <v>57000</v>
      </c>
      <c r="Q76" s="74">
        <v>57000</v>
      </c>
      <c r="R76" s="155"/>
    </row>
    <row r="77" spans="1:18" x14ac:dyDescent="0.3">
      <c r="A77" s="23"/>
      <c r="B77" s="112" t="s">
        <v>96</v>
      </c>
      <c r="C77" s="114">
        <f t="shared" ref="C77:P77" si="33">SUM(C71+C76)</f>
        <v>26402.264818655112</v>
      </c>
      <c r="D77" s="114">
        <f t="shared" si="33"/>
        <v>22821.003891205259</v>
      </c>
      <c r="E77" s="114">
        <f t="shared" si="33"/>
        <v>26926.146124251351</v>
      </c>
      <c r="F77" s="114">
        <f t="shared" si="33"/>
        <v>23362.52341357122</v>
      </c>
      <c r="G77" s="114">
        <f t="shared" si="33"/>
        <v>21838.705354161895</v>
      </c>
      <c r="H77" s="114">
        <f t="shared" si="33"/>
        <v>27002.496767965786</v>
      </c>
      <c r="I77" s="114">
        <f t="shared" si="33"/>
        <v>23950.830359174426</v>
      </c>
      <c r="J77" s="114">
        <f t="shared" si="33"/>
        <v>25319.582167181507</v>
      </c>
      <c r="K77" s="114">
        <f t="shared" si="33"/>
        <v>27817.27016061862</v>
      </c>
      <c r="L77" s="114">
        <f t="shared" si="33"/>
        <v>30144.924515229064</v>
      </c>
      <c r="M77" s="114">
        <f t="shared" si="33"/>
        <v>29184.714641537343</v>
      </c>
      <c r="N77" s="114">
        <f t="shared" si="33"/>
        <v>25090.517437176823</v>
      </c>
      <c r="O77" s="114">
        <f t="shared" si="33"/>
        <v>297323</v>
      </c>
      <c r="P77" s="114">
        <f t="shared" si="33"/>
        <v>309860.9796507284</v>
      </c>
      <c r="Q77" s="74">
        <v>294323</v>
      </c>
      <c r="R77" s="155"/>
    </row>
    <row r="78" spans="1:18" x14ac:dyDescent="0.3">
      <c r="A78" s="16"/>
      <c r="B78" s="115" t="s">
        <v>97</v>
      </c>
      <c r="C78" s="89">
        <f t="shared" ref="C78:O78" si="34">SUM(C49-C77)</f>
        <v>11936.212357585271</v>
      </c>
      <c r="D78" s="89">
        <f t="shared" si="34"/>
        <v>12697.030141056701</v>
      </c>
      <c r="E78" s="89">
        <f t="shared" si="34"/>
        <v>5557.1938108368595</v>
      </c>
      <c r="F78" s="89">
        <f t="shared" si="34"/>
        <v>3524.3812320310935</v>
      </c>
      <c r="G78" s="89">
        <f t="shared" si="34"/>
        <v>600.29334694457793</v>
      </c>
      <c r="H78" s="89">
        <f t="shared" si="34"/>
        <v>-1004.7070672719929</v>
      </c>
      <c r="I78" s="89">
        <f t="shared" si="34"/>
        <v>505.42648667314643</v>
      </c>
      <c r="J78" s="89">
        <f t="shared" si="34"/>
        <v>3946.2999421382992</v>
      </c>
      <c r="K78" s="89">
        <f t="shared" si="34"/>
        <v>1372.9190173488714</v>
      </c>
      <c r="L78" s="89">
        <f t="shared" si="34"/>
        <v>12073.141721303156</v>
      </c>
      <c r="M78" s="89">
        <f t="shared" si="34"/>
        <v>8230.0800266453007</v>
      </c>
      <c r="N78" s="89">
        <f t="shared" si="34"/>
        <v>10203.527620433379</v>
      </c>
      <c r="O78" s="89">
        <f t="shared" si="34"/>
        <v>-1109793.0313685639</v>
      </c>
      <c r="P78" s="89">
        <f>SUM(P49-P77)</f>
        <v>69641.798635724699</v>
      </c>
      <c r="Q78" s="144">
        <v>69719</v>
      </c>
      <c r="R78" s="155"/>
    </row>
    <row r="79" spans="1:18" x14ac:dyDescent="0.3">
      <c r="A79" s="16"/>
      <c r="B79" s="116" t="s">
        <v>98</v>
      </c>
      <c r="C79" s="117">
        <f t="shared" ref="C79:O79" si="35">SUM(C78/C9)</f>
        <v>9.5536878792905247E-2</v>
      </c>
      <c r="D79" s="117">
        <f t="shared" si="35"/>
        <v>0.11247026384393607</v>
      </c>
      <c r="E79" s="117">
        <f t="shared" si="35"/>
        <v>5.619126701515624E-2</v>
      </c>
      <c r="F79" s="117">
        <f t="shared" si="35"/>
        <v>4.0097151487821052E-2</v>
      </c>
      <c r="G79" s="117">
        <f t="shared" si="35"/>
        <v>8.4613701953857885E-3</v>
      </c>
      <c r="H79" s="117">
        <f t="shared" si="35"/>
        <v>-1.2449613215554892E-2</v>
      </c>
      <c r="I79" s="117">
        <f t="shared" si="35"/>
        <v>6.3892404290698292E-3</v>
      </c>
      <c r="J79" s="117">
        <f t="shared" si="35"/>
        <v>4.3882361311401295E-2</v>
      </c>
      <c r="K79" s="117">
        <f t="shared" si="35"/>
        <v>1.4671479124597179E-2</v>
      </c>
      <c r="L79" s="117">
        <f t="shared" si="35"/>
        <v>9.1950301580982496E-2</v>
      </c>
      <c r="M79" s="117">
        <f t="shared" si="35"/>
        <v>6.5984618651059021E-2</v>
      </c>
      <c r="N79" s="117">
        <f t="shared" si="35"/>
        <v>8.865826071821363E-2</v>
      </c>
      <c r="O79" s="117" t="e">
        <f t="shared" si="35"/>
        <v>#DIV/0!</v>
      </c>
      <c r="P79" s="117">
        <f>SUM(P78/P9)</f>
        <v>5.7555198824790793E-2</v>
      </c>
      <c r="Q79" s="130">
        <v>5.7619008264462812E-2</v>
      </c>
    </row>
    <row r="80" spans="1:18" hidden="1" x14ac:dyDescent="0.3">
      <c r="A80" s="23"/>
      <c r="B80" s="118" t="s">
        <v>60</v>
      </c>
      <c r="C80" s="18" t="e">
        <f>SUM(C$71+C$76)/#REF!</f>
        <v>#REF!</v>
      </c>
      <c r="D80" s="18" t="e">
        <f>SUM(D$71+D$76)/#REF!</f>
        <v>#REF!</v>
      </c>
      <c r="E80" s="18" t="e">
        <f>SUM(E$71+E$76)/#REF!</f>
        <v>#REF!</v>
      </c>
      <c r="F80" s="18" t="e">
        <f>SUM(F$71+F$76)/#REF!</f>
        <v>#REF!</v>
      </c>
      <c r="G80" s="18" t="e">
        <f>SUM(G$71+G$76)/#REF!</f>
        <v>#REF!</v>
      </c>
      <c r="H80" s="18" t="e">
        <f>SUM(H$71+H$76)/#REF!</f>
        <v>#REF!</v>
      </c>
      <c r="I80" s="18" t="e">
        <f>SUM(I$71+I$76)/#REF!</f>
        <v>#REF!</v>
      </c>
      <c r="J80" s="18" t="e">
        <f>SUM(J$71+J$76)/#REF!</f>
        <v>#REF!</v>
      </c>
      <c r="K80" s="18" t="e">
        <f>SUM(K$71+K$76)/#REF!</f>
        <v>#REF!</v>
      </c>
      <c r="L80" s="18" t="e">
        <f>SUM(L$71+L$76)/#REF!</f>
        <v>#REF!</v>
      </c>
      <c r="M80" s="18" t="e">
        <f>SUM(M$71+M$76)/#REF!</f>
        <v>#REF!</v>
      </c>
      <c r="N80" s="18" t="e">
        <f>SUM(N$71+N$76)/#REF!</f>
        <v>#REF!</v>
      </c>
      <c r="O80" s="18" t="e">
        <f>SUM(O$71+O$76)/#REF!</f>
        <v>#REF!</v>
      </c>
      <c r="P80" s="19" t="e">
        <f>SUM(P$71+P$76)/#REF!</f>
        <v>#REF!</v>
      </c>
      <c r="Q80" s="143"/>
      <c r="R80" s="152"/>
    </row>
    <row r="81" spans="1:18" x14ac:dyDescent="0.3">
      <c r="A81" s="23"/>
      <c r="B81" s="6"/>
      <c r="C81" s="5"/>
      <c r="D81" s="5"/>
      <c r="E81" s="5"/>
      <c r="F81" s="5"/>
      <c r="G81" s="5"/>
      <c r="H81" s="6"/>
      <c r="I81" s="6"/>
      <c r="J81" s="6"/>
      <c r="K81" s="6"/>
      <c r="L81" s="6"/>
      <c r="M81" s="6"/>
      <c r="N81" s="6"/>
      <c r="O81" s="6"/>
      <c r="P81" s="119"/>
      <c r="Q81" s="119"/>
      <c r="R81" s="152"/>
    </row>
    <row r="82" spans="1:18" ht="15.75" customHeight="1" x14ac:dyDescent="0.3">
      <c r="A82" s="23"/>
      <c r="B82" s="178" t="s">
        <v>42</v>
      </c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80"/>
      <c r="Q82" s="129"/>
      <c r="R82" s="155"/>
    </row>
    <row r="83" spans="1:18" x14ac:dyDescent="0.3">
      <c r="A83" s="23"/>
      <c r="B83" s="120"/>
      <c r="C83" s="121"/>
      <c r="D83" s="121"/>
      <c r="E83" s="121"/>
      <c r="F83" s="121"/>
      <c r="G83" s="121"/>
      <c r="H83" s="120"/>
      <c r="I83" s="120"/>
      <c r="J83" s="120"/>
      <c r="K83" s="120"/>
      <c r="L83" s="120"/>
      <c r="M83" s="120"/>
      <c r="N83" s="120"/>
      <c r="O83" s="120"/>
      <c r="P83" s="25"/>
      <c r="Q83" s="25"/>
      <c r="R83" s="152"/>
    </row>
    <row r="84" spans="1:18" x14ac:dyDescent="0.3">
      <c r="A84" s="23"/>
      <c r="B84" s="4"/>
      <c r="C84" s="3"/>
      <c r="D84" s="3"/>
      <c r="E84" s="3"/>
      <c r="F84" s="3"/>
      <c r="G84" s="3"/>
      <c r="H84" s="4"/>
      <c r="I84" s="4"/>
      <c r="J84" s="4"/>
      <c r="K84" s="4"/>
      <c r="L84" s="4"/>
      <c r="M84" s="4"/>
      <c r="N84" s="4"/>
      <c r="O84" s="4"/>
      <c r="P84" s="26"/>
      <c r="Q84" s="26"/>
      <c r="R84" s="152"/>
    </row>
    <row r="85" spans="1:18" x14ac:dyDescent="0.3">
      <c r="A85" s="23"/>
      <c r="B85" s="4"/>
      <c r="C85" s="3"/>
      <c r="D85" s="3"/>
      <c r="E85" s="3"/>
      <c r="F85" s="3"/>
      <c r="G85" s="3"/>
      <c r="H85" s="4"/>
      <c r="I85" s="4"/>
      <c r="J85" s="4"/>
      <c r="K85" s="4"/>
      <c r="L85" s="4"/>
      <c r="M85" s="4"/>
      <c r="N85" s="4"/>
      <c r="O85" s="4"/>
      <c r="P85" s="26"/>
      <c r="Q85" s="26"/>
      <c r="R85" s="152"/>
    </row>
    <row r="86" spans="1:18" x14ac:dyDescent="0.3">
      <c r="A86" s="23"/>
      <c r="B86" s="4"/>
      <c r="C86" s="3"/>
      <c r="D86" s="3"/>
      <c r="E86" s="3"/>
      <c r="F86" s="3"/>
      <c r="G86" s="3"/>
      <c r="H86" s="4"/>
      <c r="I86" s="4"/>
      <c r="J86" s="4"/>
      <c r="K86" s="4"/>
      <c r="L86" s="4"/>
      <c r="M86" s="4"/>
      <c r="N86" s="4"/>
      <c r="O86" s="4"/>
      <c r="P86" s="26"/>
      <c r="Q86" s="26"/>
      <c r="R86" s="152"/>
    </row>
    <row r="87" spans="1:18" x14ac:dyDescent="0.3">
      <c r="A87" s="23"/>
      <c r="B87" s="4"/>
      <c r="C87" s="3"/>
      <c r="D87" s="3"/>
      <c r="E87" s="3"/>
      <c r="F87" s="3"/>
      <c r="G87" s="3"/>
      <c r="H87" s="4"/>
      <c r="I87" s="4"/>
      <c r="J87" s="4"/>
      <c r="K87" s="4"/>
      <c r="L87" s="4"/>
      <c r="M87" s="4"/>
      <c r="N87" s="4"/>
      <c r="O87" s="4"/>
      <c r="P87" s="26"/>
      <c r="Q87" s="26"/>
      <c r="R87" s="152"/>
    </row>
    <row r="88" spans="1:18" x14ac:dyDescent="0.3">
      <c r="A88" s="23"/>
      <c r="B88" s="4"/>
      <c r="C88" s="3"/>
      <c r="D88" s="3"/>
      <c r="E88" s="3"/>
      <c r="F88" s="3"/>
      <c r="G88" s="3"/>
      <c r="H88" s="4"/>
      <c r="I88" s="4"/>
      <c r="J88" s="4"/>
      <c r="K88" s="4"/>
      <c r="L88" s="4"/>
      <c r="M88" s="4"/>
      <c r="N88" s="4"/>
      <c r="O88" s="4"/>
      <c r="P88" s="26"/>
      <c r="Q88" s="26"/>
      <c r="R88" s="152"/>
    </row>
    <row r="89" spans="1:18" x14ac:dyDescent="0.3">
      <c r="A89" s="2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4"/>
      <c r="P89" s="26"/>
      <c r="Q89" s="26"/>
      <c r="R89" s="152"/>
    </row>
  </sheetData>
  <sheetProtection algorithmName="SHA-512" hashValue="lk5o0ip1EMoflPJCje1rqgH5o4fxiVV2uJ8MvUJWwWXayFxl55O0uEc4XkejWRTUS2Kqpzag0epYClJDlSt+CA==" saltValue="bbj4CJhqQZ+V223oJ8upSg==" spinCount="100000" sheet="1" objects="1" scenarios="1"/>
  <mergeCells count="1">
    <mergeCell ref="B82:P82"/>
  </mergeCells>
  <printOptions gridLines="1"/>
  <pageMargins left="0.7" right="0.7" top="0.75" bottom="0.75" header="0.3" footer="0.3"/>
  <headerFooter>
    <oddFooter>&amp;R&amp;P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49B1B6CD66F478903CE867A080686" ma:contentTypeVersion="16" ma:contentTypeDescription="Create a new document." ma:contentTypeScope="" ma:versionID="1af4834efbbd1b2729b54b8ff046068e">
  <xsd:schema xmlns:xsd="http://www.w3.org/2001/XMLSchema" xmlns:xs="http://www.w3.org/2001/XMLSchema" xmlns:p="http://schemas.microsoft.com/office/2006/metadata/properties" xmlns:ns2="8ba1e6a2-84cd-4a33-9b85-fe41ea876599" xmlns:ns3="2e35ebcd-4537-48ad-bfb6-49619c10d153" targetNamespace="http://schemas.microsoft.com/office/2006/metadata/properties" ma:root="true" ma:fieldsID="77fd38da7a09c4504ee9c97cdb2fbe31" ns2:_="" ns3:_="">
    <xsd:import namespace="8ba1e6a2-84cd-4a33-9b85-fe41ea876599"/>
    <xsd:import namespace="2e35ebcd-4537-48ad-bfb6-49619c10d1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1e6a2-84cd-4a33-9b85-fe41ea8765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72e2998-82a8-4d98-ae4b-1f38996a4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5ebcd-4537-48ad-bfb6-49619c10d15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ce04e80-5c3b-4c6e-8e59-298e2d49b0cc}" ma:internalName="TaxCatchAll" ma:showField="CatchAllData" ma:web="2e35ebcd-4537-48ad-bfb6-49619c10d1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35ebcd-4537-48ad-bfb6-49619c10d153" xsi:nil="true"/>
    <lcf76f155ced4ddcb4097134ff3c332f xmlns="8ba1e6a2-84cd-4a33-9b85-fe41ea8765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62B24D-DF80-482A-9099-BAF8C6359D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01C910-0F90-4662-A2CC-B01A5C549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1e6a2-84cd-4a33-9b85-fe41ea876599"/>
    <ds:schemaRef ds:uri="2e35ebcd-4537-48ad-bfb6-49619c10d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2AB8A4-D265-4E72-A2F5-7739A98E3B50}">
  <ds:schemaRefs>
    <ds:schemaRef ds:uri="http://schemas.microsoft.com/office/2006/metadata/properties"/>
    <ds:schemaRef ds:uri="http://schemas.microsoft.com/office/infopath/2007/PartnerControls"/>
    <ds:schemaRef ds:uri="2e35ebcd-4537-48ad-bfb6-49619c10d153"/>
    <ds:schemaRef ds:uri="8ba1e6a2-84cd-4a33-9b85-fe41ea8765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Sheet</vt:lpstr>
      <vt:lpstr>Annual P&amp;L </vt:lpstr>
      <vt:lpstr>TTM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Scroggs</dc:creator>
  <cp:keywords/>
  <dc:description/>
  <cp:lastModifiedBy>Kim Dudas</cp:lastModifiedBy>
  <cp:revision/>
  <dcterms:created xsi:type="dcterms:W3CDTF">2025-04-11T16:38:25Z</dcterms:created>
  <dcterms:modified xsi:type="dcterms:W3CDTF">2025-06-24T20:40:54Z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0x010100B6E49B1B6CD66F478903CE867A080686</vt:lpwstr>
  </property>
  <property fmtid="{D5CDD505-2E9C-101B-9397-08002B2CF9AE}" pid="3" name="MediaServiceImageTags">
    <vt:lpwstr/>
  </property>
</Properties>
</file>