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4.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ocumenttasks/documenttask2.xml" ContentType="application/vnd.ms-excel.documenttasks+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ocumenttasks/documenttask3.xml" ContentType="application/vnd.ms-excel.documenttask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ocumenttasks/documenttask4.xml" ContentType="application/vnd.ms-excel.documenttasks+xml"/>
  <Override PartName="/xl/drawings/drawing8.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ocumenttasks/documenttask5.xml" ContentType="application/vnd.ms-excel.documenttask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documenttasks/documenttask6.xml" ContentType="application/vnd.ms-excel.documenttasks+xml"/>
  <Override PartName="/xl/drawings/drawing13.xml" ContentType="application/vnd.openxmlformats-officedocument.drawing+xml"/>
  <Override PartName="/xl/drawings/drawing1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mc:AlternateContent xmlns:mc="http://schemas.openxmlformats.org/markup-compatibility/2006">
    <mc:Choice Requires="x15">
      <x15ac:absPath xmlns:x15ac="http://schemas.microsoft.com/office/spreadsheetml/2010/11/ac" url="https://kootenaypeaks.sharepoint.com/sites/BBAProgram/Shared Documents/Education/Advisement Resources/FLP Advisement Resources/FLP Spreadsheets/"/>
    </mc:Choice>
  </mc:AlternateContent>
  <xr:revisionPtr revIDLastSave="2974" documentId="13_ncr:1_{B9A0CBBA-5A84-4C47-9638-E0D951A3E609}" xr6:coauthVersionLast="47" xr6:coauthVersionMax="47" xr10:uidLastSave="{4D0CB6BF-9121-4391-9FFE-8E10EFD6188D}"/>
  <bookViews>
    <workbookView xWindow="-108" yWindow="-108" windowWidth="23256" windowHeight="12456" xr2:uid="{B56A38D6-88CB-4CEE-AEF6-D02F69D9E971}"/>
  </bookViews>
  <sheets>
    <sheet name="Balance Sheet" sheetId="3" r:id="rId1"/>
    <sheet name="Annual P&amp;L - Basic" sheetId="5" r:id="rId2"/>
    <sheet name="Updated Annual P&amp;L - SC &amp; COA" sheetId="11" r:id="rId3"/>
    <sheet name="TTM Original - Good" sheetId="6" r:id="rId4"/>
    <sheet name="TTM - 9 Mths Mess - 3 Mths Good" sheetId="7" r:id="rId5"/>
    <sheet name="TTM Orignal - With Levers" sheetId="8" r:id="rId6"/>
    <sheet name="TTM Orignal - Levers for Months" sheetId="9" r:id="rId7"/>
    <sheet name="TTM Orignal - Units and BE" sheetId="13" r:id="rId8"/>
    <sheet name="YOY Comparison w Variances" sheetId="17" r:id="rId9"/>
    <sheet name="Mar, Apr, May Comparison Report" sheetId="18" r:id="rId10"/>
    <sheet name="Cashflow statement" sheetId="16" r:id="rId11"/>
    <sheet name="Breakeven Calculator" sheetId="14" r:id="rId12"/>
    <sheet name="Breakeven Scenario" sheetId="15" r:id="rId13"/>
    <sheet name="NOTES" sheetId="10" r:id="rId14"/>
  </sheets>
  <externalReferences>
    <externalReference r:id="rId1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4" i="17" l="1"/>
  <c r="I30" i="17"/>
  <c r="G28" i="17"/>
  <c r="G29" i="17" s="1"/>
  <c r="D28" i="17"/>
  <c r="C28" i="17"/>
  <c r="G26" i="17"/>
  <c r="G27" i="17" s="1"/>
  <c r="D26" i="17"/>
  <c r="D27" i="17" s="1"/>
  <c r="C26" i="17"/>
  <c r="C27" i="17" s="1"/>
  <c r="G21" i="17"/>
  <c r="G22" i="17" s="1"/>
  <c r="D21" i="17"/>
  <c r="D22" i="17" s="1"/>
  <c r="C21" i="17"/>
  <c r="C22" i="17" s="1"/>
  <c r="G16" i="17"/>
  <c r="G17" i="17" s="1"/>
  <c r="D16" i="17"/>
  <c r="D17" i="17" s="1"/>
  <c r="C16" i="17"/>
  <c r="C17" i="17" s="1"/>
  <c r="G11" i="17"/>
  <c r="G12" i="17" s="1"/>
  <c r="D11" i="17"/>
  <c r="C11" i="17"/>
  <c r="C12" i="17" s="1"/>
  <c r="I27" i="17"/>
  <c r="I22" i="17"/>
  <c r="I17" i="17"/>
  <c r="F27" i="17"/>
  <c r="F22" i="17"/>
  <c r="F17" i="17"/>
  <c r="E5" i="17"/>
  <c r="F5" i="17" s="1"/>
  <c r="E6" i="17"/>
  <c r="F6" i="17" s="1"/>
  <c r="E7" i="17"/>
  <c r="F7" i="17" s="1"/>
  <c r="E10" i="17"/>
  <c r="F10" i="17" s="1"/>
  <c r="E11" i="17"/>
  <c r="F11" i="17" s="1"/>
  <c r="E15" i="17"/>
  <c r="F15" i="17" s="1"/>
  <c r="E16" i="17"/>
  <c r="F16" i="17" s="1"/>
  <c r="E20" i="17"/>
  <c r="F20" i="17" s="1"/>
  <c r="E21" i="17"/>
  <c r="F21" i="17" s="1"/>
  <c r="E25" i="17"/>
  <c r="F25" i="17" s="1"/>
  <c r="E26" i="17"/>
  <c r="F26" i="17" s="1"/>
  <c r="E28" i="17"/>
  <c r="F28" i="17" s="1"/>
  <c r="E32" i="17"/>
  <c r="F32" i="17" s="1"/>
  <c r="H10" i="17"/>
  <c r="I10" i="17" s="1"/>
  <c r="H15" i="17"/>
  <c r="I15" i="17" s="1"/>
  <c r="H16" i="17"/>
  <c r="I16" i="17" s="1"/>
  <c r="H20" i="17"/>
  <c r="I20" i="17" s="1"/>
  <c r="H21" i="17"/>
  <c r="I21" i="17" s="1"/>
  <c r="H25" i="17"/>
  <c r="I25" i="17" s="1"/>
  <c r="H26" i="17"/>
  <c r="I26" i="17" s="1"/>
  <c r="H28" i="17"/>
  <c r="I28" i="17" s="1"/>
  <c r="H32" i="17"/>
  <c r="I32" i="17" s="1"/>
  <c r="H5" i="17"/>
  <c r="I5" i="17" s="1"/>
  <c r="H6" i="17"/>
  <c r="I6" i="17" s="1"/>
  <c r="H7" i="17"/>
  <c r="I7" i="17" s="1"/>
  <c r="H4" i="17"/>
  <c r="I4" i="17" s="1"/>
  <c r="E4" i="17"/>
  <c r="F4" i="17" s="1"/>
  <c r="D8" i="17"/>
  <c r="C8" i="17"/>
  <c r="C29" i="17" s="1"/>
  <c r="B17" i="16"/>
  <c r="C102" i="13"/>
  <c r="AU102" i="13"/>
  <c r="AQ102" i="13"/>
  <c r="AM102" i="13"/>
  <c r="AI102" i="13"/>
  <c r="AE102" i="13"/>
  <c r="AA102" i="13"/>
  <c r="W102" i="13"/>
  <c r="S102" i="13"/>
  <c r="O102" i="13"/>
  <c r="K102" i="13"/>
  <c r="G102" i="13"/>
  <c r="BL40" i="13"/>
  <c r="BL41" i="13"/>
  <c r="BL48" i="13"/>
  <c r="C14" i="15"/>
  <c r="C9" i="15"/>
  <c r="AY4" i="13"/>
  <c r="D5" i="13"/>
  <c r="C5" i="13" s="1"/>
  <c r="C13" i="13" s="1"/>
  <c r="H5" i="13"/>
  <c r="G5" i="13" s="1"/>
  <c r="G13" i="13" s="1"/>
  <c r="L5" i="13"/>
  <c r="K5" i="13" s="1"/>
  <c r="P5" i="13"/>
  <c r="O5" i="13" s="1"/>
  <c r="O13" i="13" s="1"/>
  <c r="T5" i="13"/>
  <c r="S5" i="13" s="1"/>
  <c r="S13" i="13" s="1"/>
  <c r="X5" i="13"/>
  <c r="W5" i="13" s="1"/>
  <c r="W13" i="13" s="1"/>
  <c r="AB5" i="13"/>
  <c r="AA5" i="13" s="1"/>
  <c r="AA13" i="13" s="1"/>
  <c r="AF5" i="13"/>
  <c r="AE5" i="13" s="1"/>
  <c r="AE13" i="13" s="1"/>
  <c r="AJ5" i="13"/>
  <c r="AI5" i="13" s="1"/>
  <c r="AN5" i="13"/>
  <c r="AM5" i="13" s="1"/>
  <c r="AM13" i="13" s="1"/>
  <c r="AR5" i="13"/>
  <c r="AQ5" i="13" s="1"/>
  <c r="AQ13" i="13" s="1"/>
  <c r="AV5" i="13"/>
  <c r="AU5" i="13" s="1"/>
  <c r="AU13" i="13" s="1"/>
  <c r="AZ5" i="13"/>
  <c r="AZ13" i="13" s="1"/>
  <c r="D6" i="13"/>
  <c r="C6" i="13" s="1"/>
  <c r="C28" i="13" s="1"/>
  <c r="C29" i="13" s="1"/>
  <c r="H6" i="13"/>
  <c r="G6" i="13" s="1"/>
  <c r="G28" i="13" s="1"/>
  <c r="L6" i="13"/>
  <c r="K6" i="13" s="1"/>
  <c r="K28" i="13" s="1"/>
  <c r="P6" i="13"/>
  <c r="O6" i="13" s="1"/>
  <c r="T6" i="13"/>
  <c r="S6" i="13" s="1"/>
  <c r="X6" i="13"/>
  <c r="W6" i="13" s="1"/>
  <c r="AB6" i="13"/>
  <c r="AA6" i="13" s="1"/>
  <c r="AA29" i="13" s="1"/>
  <c r="AF6" i="13"/>
  <c r="AE6" i="13" s="1"/>
  <c r="AE29" i="13" s="1"/>
  <c r="AJ6" i="13"/>
  <c r="AI6" i="13" s="1"/>
  <c r="AI29" i="13" s="1"/>
  <c r="AN6" i="13"/>
  <c r="AM6" i="13" s="1"/>
  <c r="AR6" i="13"/>
  <c r="AQ6" i="13" s="1"/>
  <c r="AV6" i="13"/>
  <c r="AU6" i="13" s="1"/>
  <c r="AZ6" i="13"/>
  <c r="AZ29" i="13" s="1"/>
  <c r="D7" i="13"/>
  <c r="C7" i="13" s="1"/>
  <c r="C39" i="13" s="1"/>
  <c r="C40" i="13" s="1"/>
  <c r="H7" i="13"/>
  <c r="G7" i="13" s="1"/>
  <c r="L7" i="13"/>
  <c r="K7" i="13" s="1"/>
  <c r="K39" i="13" s="1"/>
  <c r="P7" i="13"/>
  <c r="O7" i="13" s="1"/>
  <c r="T7" i="13"/>
  <c r="S7" i="13" s="1"/>
  <c r="X7" i="13"/>
  <c r="W7" i="13" s="1"/>
  <c r="W39" i="13" s="1"/>
  <c r="W40" i="13" s="1"/>
  <c r="AB7" i="13"/>
  <c r="AA7" i="13" s="1"/>
  <c r="AA39" i="13" s="1"/>
  <c r="AA40" i="13" s="1"/>
  <c r="AF7" i="13"/>
  <c r="AJ7" i="13"/>
  <c r="AI7" i="13" s="1"/>
  <c r="AI39" i="13" s="1"/>
  <c r="AN7" i="13"/>
  <c r="AM7" i="13" s="1"/>
  <c r="AM39" i="13" s="1"/>
  <c r="AM40" i="13" s="1"/>
  <c r="AR7" i="13"/>
  <c r="AQ7" i="13" s="1"/>
  <c r="AV7" i="13"/>
  <c r="AU7" i="13" s="1"/>
  <c r="AZ7" i="13"/>
  <c r="AZ39" i="13" s="1"/>
  <c r="D8" i="13"/>
  <c r="C8" i="13" s="1"/>
  <c r="H8" i="13"/>
  <c r="G8" i="13" s="1"/>
  <c r="L8" i="13"/>
  <c r="K8" i="13" s="1"/>
  <c r="P8" i="13"/>
  <c r="O8" i="13" s="1"/>
  <c r="T8" i="13"/>
  <c r="T51" i="13" s="1"/>
  <c r="X8" i="13"/>
  <c r="W8" i="13" s="1"/>
  <c r="W51" i="13" s="1"/>
  <c r="W52" i="13" s="1"/>
  <c r="AB8" i="13"/>
  <c r="AA8" i="13" s="1"/>
  <c r="AA51" i="13" s="1"/>
  <c r="AA52" i="13" s="1"/>
  <c r="AF8" i="13"/>
  <c r="AE8" i="13" s="1"/>
  <c r="AE51" i="13" s="1"/>
  <c r="AE52" i="13" s="1"/>
  <c r="AJ8" i="13"/>
  <c r="AI8" i="13" s="1"/>
  <c r="AN8" i="13"/>
  <c r="AM8" i="13" s="1"/>
  <c r="AM51" i="13" s="1"/>
  <c r="AM52" i="13" s="1"/>
  <c r="AR8" i="13"/>
  <c r="AV8" i="13"/>
  <c r="AU8" i="13" s="1"/>
  <c r="AU51" i="13" s="1"/>
  <c r="AU52" i="13" s="1"/>
  <c r="AZ8" i="13"/>
  <c r="AY9" i="13"/>
  <c r="E15" i="13"/>
  <c r="E13" i="13" s="1"/>
  <c r="F15" i="13"/>
  <c r="F13" i="13" s="1"/>
  <c r="I15" i="13"/>
  <c r="J15" i="13"/>
  <c r="M15" i="13"/>
  <c r="N15" i="13"/>
  <c r="Q15" i="13"/>
  <c r="Q13" i="13" s="1"/>
  <c r="R15" i="13"/>
  <c r="U15" i="13"/>
  <c r="U13" i="13" s="1"/>
  <c r="V15" i="13"/>
  <c r="V13" i="13" s="1"/>
  <c r="X15" i="13"/>
  <c r="X13" i="13" s="1"/>
  <c r="Y15" i="13"/>
  <c r="Z15" i="13"/>
  <c r="AC15" i="13"/>
  <c r="AD15" i="13"/>
  <c r="AG15" i="13"/>
  <c r="AG13" i="13" s="1"/>
  <c r="AH15" i="13"/>
  <c r="AK15" i="13"/>
  <c r="AK14" i="13" s="1"/>
  <c r="AL15" i="13"/>
  <c r="AL13" i="13" s="1"/>
  <c r="AO15" i="13"/>
  <c r="AP15" i="13"/>
  <c r="AS15" i="13"/>
  <c r="AT15" i="13"/>
  <c r="BA15" i="13"/>
  <c r="BE15" i="13" s="1"/>
  <c r="BB15" i="13" s="1"/>
  <c r="I13" i="13"/>
  <c r="M13" i="13"/>
  <c r="N13" i="13"/>
  <c r="R13" i="13"/>
  <c r="Y13" i="13"/>
  <c r="AC13" i="13"/>
  <c r="AD13" i="13"/>
  <c r="AH13" i="13"/>
  <c r="AO13" i="13"/>
  <c r="AS13" i="13"/>
  <c r="AT13" i="13"/>
  <c r="AW13" i="13"/>
  <c r="AX13" i="13"/>
  <c r="AY13" i="13"/>
  <c r="I14" i="13"/>
  <c r="M14" i="13"/>
  <c r="N14" i="13"/>
  <c r="R14" i="13"/>
  <c r="V14" i="13"/>
  <c r="Y14" i="13"/>
  <c r="AC14" i="13"/>
  <c r="AD14" i="13"/>
  <c r="AH14" i="13"/>
  <c r="AL14" i="13"/>
  <c r="AO14" i="13"/>
  <c r="AS14" i="13"/>
  <c r="AT14" i="13"/>
  <c r="AW14" i="13"/>
  <c r="AX14" i="13"/>
  <c r="D16" i="13"/>
  <c r="C16" i="13" s="1"/>
  <c r="H16" i="13"/>
  <c r="G16" i="13" s="1"/>
  <c r="L16" i="13"/>
  <c r="K16" i="13" s="1"/>
  <c r="P16" i="13"/>
  <c r="O16" i="13" s="1"/>
  <c r="T16" i="13"/>
  <c r="S16" i="13" s="1"/>
  <c r="X16" i="13"/>
  <c r="W16" i="13" s="1"/>
  <c r="AB16" i="13"/>
  <c r="AA16" i="13" s="1"/>
  <c r="AF16" i="13"/>
  <c r="AE16" i="13" s="1"/>
  <c r="AJ16" i="13"/>
  <c r="AI16" i="13" s="1"/>
  <c r="AN16" i="13"/>
  <c r="AM16" i="13" s="1"/>
  <c r="AR16" i="13"/>
  <c r="AQ16" i="13" s="1"/>
  <c r="AV16" i="13"/>
  <c r="AU16" i="13" s="1"/>
  <c r="AZ16" i="13"/>
  <c r="D17" i="13"/>
  <c r="C17" i="13" s="1"/>
  <c r="H17" i="13"/>
  <c r="G17" i="13" s="1"/>
  <c r="L17" i="13"/>
  <c r="K17" i="13" s="1"/>
  <c r="P17" i="13"/>
  <c r="O17" i="13" s="1"/>
  <c r="T17" i="13"/>
  <c r="S17" i="13" s="1"/>
  <c r="X17" i="13"/>
  <c r="W17" i="13" s="1"/>
  <c r="AB17" i="13"/>
  <c r="AA17" i="13" s="1"/>
  <c r="AF17" i="13"/>
  <c r="AE17" i="13" s="1"/>
  <c r="AJ17" i="13"/>
  <c r="AI17" i="13" s="1"/>
  <c r="AN17" i="13"/>
  <c r="AM17" i="13" s="1"/>
  <c r="AR17" i="13"/>
  <c r="AQ17" i="13" s="1"/>
  <c r="AV17" i="13"/>
  <c r="AU17" i="13" s="1"/>
  <c r="AZ17" i="13"/>
  <c r="D18" i="13"/>
  <c r="C18" i="13" s="1"/>
  <c r="H18" i="13"/>
  <c r="G18" i="13" s="1"/>
  <c r="L18" i="13"/>
  <c r="K18" i="13" s="1"/>
  <c r="P18" i="13"/>
  <c r="O18" i="13" s="1"/>
  <c r="T18" i="13"/>
  <c r="S18" i="13" s="1"/>
  <c r="X18" i="13"/>
  <c r="W18" i="13" s="1"/>
  <c r="AB18" i="13"/>
  <c r="AA18" i="13" s="1"/>
  <c r="AF18" i="13"/>
  <c r="AE18" i="13" s="1"/>
  <c r="AJ18" i="13"/>
  <c r="AI18" i="13" s="1"/>
  <c r="AN18" i="13"/>
  <c r="AM18" i="13" s="1"/>
  <c r="AR18" i="13"/>
  <c r="AQ18" i="13" s="1"/>
  <c r="AV18" i="13"/>
  <c r="AU18" i="13" s="1"/>
  <c r="AZ18" i="13"/>
  <c r="D19" i="13"/>
  <c r="C19" i="13" s="1"/>
  <c r="H19" i="13"/>
  <c r="G19" i="13" s="1"/>
  <c r="L19" i="13"/>
  <c r="K19" i="13" s="1"/>
  <c r="P19" i="13"/>
  <c r="O19" i="13" s="1"/>
  <c r="T19" i="13"/>
  <c r="S19" i="13" s="1"/>
  <c r="X19" i="13"/>
  <c r="W19" i="13" s="1"/>
  <c r="AB19" i="13"/>
  <c r="AA19" i="13" s="1"/>
  <c r="AF19" i="13"/>
  <c r="AE19" i="13" s="1"/>
  <c r="AJ19" i="13"/>
  <c r="AI19" i="13" s="1"/>
  <c r="AN19" i="13"/>
  <c r="AM19" i="13" s="1"/>
  <c r="AR19" i="13"/>
  <c r="AQ19" i="13" s="1"/>
  <c r="AV19" i="13"/>
  <c r="AU19" i="13" s="1"/>
  <c r="AZ19" i="13"/>
  <c r="D20" i="13"/>
  <c r="C20" i="13" s="1"/>
  <c r="H20" i="13"/>
  <c r="G20" i="13" s="1"/>
  <c r="L20" i="13"/>
  <c r="K20" i="13" s="1"/>
  <c r="P20" i="13"/>
  <c r="O20" i="13" s="1"/>
  <c r="T20" i="13"/>
  <c r="S20" i="13" s="1"/>
  <c r="X20" i="13"/>
  <c r="W20" i="13" s="1"/>
  <c r="AB20" i="13"/>
  <c r="AA20" i="13" s="1"/>
  <c r="AF20" i="13"/>
  <c r="AE20" i="13" s="1"/>
  <c r="AJ20" i="13"/>
  <c r="AI20" i="13" s="1"/>
  <c r="AN20" i="13"/>
  <c r="AM20" i="13" s="1"/>
  <c r="AR20" i="13"/>
  <c r="AQ20" i="13" s="1"/>
  <c r="AV20" i="13"/>
  <c r="AU20" i="13" s="1"/>
  <c r="AZ20" i="13"/>
  <c r="AY21" i="13"/>
  <c r="AY14" i="13" s="1"/>
  <c r="AY23" i="13"/>
  <c r="AY24" i="13"/>
  <c r="F25" i="13"/>
  <c r="I25" i="13"/>
  <c r="M25" i="13"/>
  <c r="N25" i="13"/>
  <c r="Q25" i="13"/>
  <c r="R25" i="13"/>
  <c r="V25" i="13"/>
  <c r="Y25" i="13"/>
  <c r="Z25" i="13"/>
  <c r="AC25" i="13"/>
  <c r="AD25" i="13"/>
  <c r="AG25" i="13"/>
  <c r="AH25" i="13"/>
  <c r="AL25" i="13"/>
  <c r="AO25" i="13"/>
  <c r="AS25" i="13"/>
  <c r="AT25" i="13"/>
  <c r="AV25" i="13"/>
  <c r="AW25" i="13"/>
  <c r="AX25" i="13"/>
  <c r="E28" i="13"/>
  <c r="F28" i="13"/>
  <c r="I28" i="13"/>
  <c r="J28" i="13"/>
  <c r="M28" i="13"/>
  <c r="M29" i="13" s="1"/>
  <c r="N28" i="13"/>
  <c r="N36" i="13" s="1"/>
  <c r="Q28" i="13"/>
  <c r="Q30" i="13" s="1"/>
  <c r="R28" i="13"/>
  <c r="U28" i="13"/>
  <c r="V28" i="13"/>
  <c r="Y28" i="13"/>
  <c r="Z28" i="13"/>
  <c r="Z29" i="13" s="1"/>
  <c r="AC28" i="13"/>
  <c r="AD28" i="13"/>
  <c r="AD29" i="13" s="1"/>
  <c r="AG28" i="13"/>
  <c r="AG30" i="13" s="1"/>
  <c r="AH28" i="13"/>
  <c r="AK28" i="13"/>
  <c r="AL28" i="13"/>
  <c r="AO28" i="13"/>
  <c r="AP28" i="13"/>
  <c r="AP29" i="13" s="1"/>
  <c r="AS28" i="13"/>
  <c r="AT28" i="13"/>
  <c r="AT30" i="13" s="1"/>
  <c r="E29" i="13"/>
  <c r="F29" i="13"/>
  <c r="J29" i="13"/>
  <c r="Q29" i="13"/>
  <c r="R29" i="13"/>
  <c r="U29" i="13"/>
  <c r="Y29" i="13"/>
  <c r="AC29" i="13"/>
  <c r="AH29" i="13"/>
  <c r="AK29" i="13"/>
  <c r="AO29" i="13"/>
  <c r="AS29" i="13"/>
  <c r="AT29" i="13"/>
  <c r="AW29" i="13"/>
  <c r="AX29" i="13"/>
  <c r="AY29" i="13"/>
  <c r="E30" i="13"/>
  <c r="F30" i="13"/>
  <c r="J30" i="13"/>
  <c r="M30" i="13"/>
  <c r="R30" i="13"/>
  <c r="U30" i="13"/>
  <c r="Y30" i="13"/>
  <c r="Z30" i="13"/>
  <c r="AC30" i="13"/>
  <c r="AD30" i="13"/>
  <c r="AH30" i="13"/>
  <c r="AK30" i="13"/>
  <c r="AO30" i="13"/>
  <c r="AP30" i="13"/>
  <c r="AS30" i="13"/>
  <c r="AW30" i="13"/>
  <c r="AX30" i="13"/>
  <c r="D31" i="13"/>
  <c r="C31" i="13" s="1"/>
  <c r="H31" i="13"/>
  <c r="G31" i="13" s="1"/>
  <c r="L31" i="13"/>
  <c r="K31" i="13" s="1"/>
  <c r="P31" i="13"/>
  <c r="T31" i="13"/>
  <c r="S31" i="13" s="1"/>
  <c r="X31" i="13"/>
  <c r="W31" i="13" s="1"/>
  <c r="AB31" i="13"/>
  <c r="AA31" i="13" s="1"/>
  <c r="AF31" i="13"/>
  <c r="AE31" i="13" s="1"/>
  <c r="AJ31" i="13"/>
  <c r="AI31" i="13" s="1"/>
  <c r="AN31" i="13"/>
  <c r="AM31" i="13" s="1"/>
  <c r="AR31" i="13"/>
  <c r="AQ31" i="13" s="1"/>
  <c r="AV31" i="13"/>
  <c r="AU31" i="13" s="1"/>
  <c r="AZ31" i="13"/>
  <c r="D32" i="13"/>
  <c r="C32" i="13" s="1"/>
  <c r="H32" i="13"/>
  <c r="G32" i="13" s="1"/>
  <c r="G33" i="13" s="1"/>
  <c r="L32" i="13"/>
  <c r="K32" i="13" s="1"/>
  <c r="P32" i="13"/>
  <c r="T32" i="13"/>
  <c r="S32" i="13" s="1"/>
  <c r="X32" i="13"/>
  <c r="W32" i="13" s="1"/>
  <c r="AB32" i="13"/>
  <c r="AA32" i="13" s="1"/>
  <c r="AF32" i="13"/>
  <c r="AE32" i="13" s="1"/>
  <c r="AJ32" i="13"/>
  <c r="AI32" i="13" s="1"/>
  <c r="AN32" i="13"/>
  <c r="AM32" i="13" s="1"/>
  <c r="AR32" i="13"/>
  <c r="AQ32" i="13" s="1"/>
  <c r="AV32" i="13"/>
  <c r="AU32" i="13" s="1"/>
  <c r="AZ32" i="13"/>
  <c r="O33" i="13"/>
  <c r="E36" i="13"/>
  <c r="F36" i="13"/>
  <c r="J36" i="13"/>
  <c r="M36" i="13"/>
  <c r="Q36" i="13"/>
  <c r="R36" i="13"/>
  <c r="U36" i="13"/>
  <c r="Y36" i="13"/>
  <c r="Z36" i="13"/>
  <c r="AC36" i="13"/>
  <c r="AD36" i="13"/>
  <c r="AG36" i="13"/>
  <c r="AH36" i="13"/>
  <c r="AK36" i="13"/>
  <c r="AO36" i="13"/>
  <c r="AP36" i="13"/>
  <c r="AS36" i="13"/>
  <c r="AW36" i="13"/>
  <c r="AX36" i="13"/>
  <c r="E39" i="13"/>
  <c r="F39" i="13"/>
  <c r="I39" i="13"/>
  <c r="J39" i="13"/>
  <c r="M39" i="13"/>
  <c r="N39" i="13"/>
  <c r="Q39" i="13"/>
  <c r="R39" i="13"/>
  <c r="U39" i="13"/>
  <c r="V39" i="13"/>
  <c r="Y39" i="13"/>
  <c r="Z39" i="13"/>
  <c r="AC39" i="13"/>
  <c r="AD39" i="13"/>
  <c r="AG39" i="13"/>
  <c r="AH39" i="13"/>
  <c r="AK39" i="13"/>
  <c r="AL39" i="13"/>
  <c r="AO39" i="13"/>
  <c r="AP39" i="13"/>
  <c r="AS39" i="13"/>
  <c r="AT39" i="13"/>
  <c r="AU39" i="13"/>
  <c r="AU40" i="13" s="1"/>
  <c r="AW39" i="13"/>
  <c r="AX39" i="13"/>
  <c r="AY39" i="13"/>
  <c r="AY40" i="13" s="1"/>
  <c r="E40" i="13"/>
  <c r="F40" i="13"/>
  <c r="I40" i="13"/>
  <c r="J40" i="13"/>
  <c r="M40" i="13"/>
  <c r="N40" i="13"/>
  <c r="Q40" i="13"/>
  <c r="R40" i="13"/>
  <c r="U40" i="13"/>
  <c r="V40" i="13"/>
  <c r="Y40" i="13"/>
  <c r="Z40" i="13"/>
  <c r="AC40" i="13"/>
  <c r="AD40" i="13"/>
  <c r="AG40" i="13"/>
  <c r="AH40" i="13"/>
  <c r="AK40" i="13"/>
  <c r="AL40" i="13"/>
  <c r="AO40" i="13"/>
  <c r="AP40" i="13"/>
  <c r="AS40" i="13"/>
  <c r="AT40" i="13"/>
  <c r="AW40" i="13"/>
  <c r="AX40" i="13"/>
  <c r="E41" i="13"/>
  <c r="F41" i="13"/>
  <c r="I41" i="13"/>
  <c r="J41" i="13"/>
  <c r="M41" i="13"/>
  <c r="N41" i="13"/>
  <c r="Q41" i="13"/>
  <c r="R41" i="13"/>
  <c r="U41" i="13"/>
  <c r="V41" i="13"/>
  <c r="Y41" i="13"/>
  <c r="Z41" i="13"/>
  <c r="AC41" i="13"/>
  <c r="AD41" i="13"/>
  <c r="AG41" i="13"/>
  <c r="AH41" i="13"/>
  <c r="AK41" i="13"/>
  <c r="AL41" i="13"/>
  <c r="AO41" i="13"/>
  <c r="AP41" i="13"/>
  <c r="AS41" i="13"/>
  <c r="AT41" i="13"/>
  <c r="AW41" i="13"/>
  <c r="AX41" i="13"/>
  <c r="D42" i="13"/>
  <c r="C42" i="13" s="1"/>
  <c r="H42" i="13"/>
  <c r="G42" i="13" s="1"/>
  <c r="L42" i="13"/>
  <c r="K42" i="13" s="1"/>
  <c r="P42" i="13"/>
  <c r="T42" i="13"/>
  <c r="S42" i="13" s="1"/>
  <c r="X42" i="13"/>
  <c r="W42" i="13" s="1"/>
  <c r="AB42" i="13"/>
  <c r="AA42" i="13" s="1"/>
  <c r="AF42" i="13"/>
  <c r="AE42" i="13" s="1"/>
  <c r="AJ42" i="13"/>
  <c r="AI42" i="13" s="1"/>
  <c r="AN42" i="13"/>
  <c r="AM42" i="13" s="1"/>
  <c r="AR42" i="13"/>
  <c r="AQ42" i="13" s="1"/>
  <c r="AV42" i="13"/>
  <c r="AU42" i="13" s="1"/>
  <c r="AZ42" i="13"/>
  <c r="D43" i="13"/>
  <c r="C43" i="13" s="1"/>
  <c r="H43" i="13"/>
  <c r="G43" i="13" s="1"/>
  <c r="L43" i="13"/>
  <c r="K43" i="13" s="1"/>
  <c r="P43" i="13"/>
  <c r="T43" i="13"/>
  <c r="S43" i="13" s="1"/>
  <c r="X43" i="13"/>
  <c r="W43" i="13" s="1"/>
  <c r="AB43" i="13"/>
  <c r="AA43" i="13" s="1"/>
  <c r="AF43" i="13"/>
  <c r="AE43" i="13" s="1"/>
  <c r="AJ43" i="13"/>
  <c r="AI43" i="13" s="1"/>
  <c r="AN43" i="13"/>
  <c r="AM43" i="13" s="1"/>
  <c r="AR43" i="13"/>
  <c r="AQ43" i="13" s="1"/>
  <c r="AV43" i="13"/>
  <c r="AU43" i="13" s="1"/>
  <c r="AZ43" i="13"/>
  <c r="D44" i="13"/>
  <c r="C44" i="13" s="1"/>
  <c r="H44" i="13"/>
  <c r="G44" i="13" s="1"/>
  <c r="L44" i="13"/>
  <c r="K44" i="13" s="1"/>
  <c r="P44" i="13"/>
  <c r="T44" i="13"/>
  <c r="S44" i="13" s="1"/>
  <c r="X44" i="13"/>
  <c r="W44" i="13" s="1"/>
  <c r="AB44" i="13"/>
  <c r="AA44" i="13" s="1"/>
  <c r="AF44" i="13"/>
  <c r="AE44" i="13" s="1"/>
  <c r="AJ44" i="13"/>
  <c r="AI44" i="13" s="1"/>
  <c r="AN44" i="13"/>
  <c r="AM44" i="13" s="1"/>
  <c r="AR44" i="13"/>
  <c r="AQ44" i="13" s="1"/>
  <c r="AV44" i="13"/>
  <c r="AU44" i="13" s="1"/>
  <c r="AZ44" i="13"/>
  <c r="AY46" i="13"/>
  <c r="AY47" i="13"/>
  <c r="E48" i="13"/>
  <c r="F48" i="13"/>
  <c r="I48" i="13"/>
  <c r="J48" i="13"/>
  <c r="M48" i="13"/>
  <c r="N48" i="13"/>
  <c r="Q48" i="13"/>
  <c r="R48" i="13"/>
  <c r="U48" i="13"/>
  <c r="V48" i="13"/>
  <c r="Y48" i="13"/>
  <c r="Z48" i="13"/>
  <c r="AC48" i="13"/>
  <c r="AD48" i="13"/>
  <c r="AG48" i="13"/>
  <c r="AH48" i="13"/>
  <c r="AK48" i="13"/>
  <c r="AL48" i="13"/>
  <c r="AO48" i="13"/>
  <c r="AP48" i="13"/>
  <c r="AS48" i="13"/>
  <c r="AT48" i="13"/>
  <c r="AW48" i="13"/>
  <c r="AX48" i="13"/>
  <c r="E51" i="13"/>
  <c r="E52" i="13" s="1"/>
  <c r="F51" i="13"/>
  <c r="F52" i="13" s="1"/>
  <c r="I51" i="13"/>
  <c r="I52" i="13" s="1"/>
  <c r="J51" i="13"/>
  <c r="K51" i="13"/>
  <c r="K52" i="13" s="1"/>
  <c r="L51" i="13"/>
  <c r="L52" i="13" s="1"/>
  <c r="M51" i="13"/>
  <c r="M52" i="13" s="1"/>
  <c r="N51" i="13"/>
  <c r="N52" i="13" s="1"/>
  <c r="Q51" i="13"/>
  <c r="Q52" i="13" s="1"/>
  <c r="R51" i="13"/>
  <c r="R52" i="13" s="1"/>
  <c r="U51" i="13"/>
  <c r="U52" i="13" s="1"/>
  <c r="V51" i="13"/>
  <c r="Y51" i="13"/>
  <c r="Y52" i="13" s="1"/>
  <c r="Z51" i="13"/>
  <c r="Z52" i="13" s="1"/>
  <c r="AC51" i="13"/>
  <c r="AC52" i="13" s="1"/>
  <c r="AD51" i="13"/>
  <c r="AD52" i="13" s="1"/>
  <c r="AG51" i="13"/>
  <c r="AG52" i="13" s="1"/>
  <c r="AH51" i="13"/>
  <c r="AI51" i="13"/>
  <c r="AI52" i="13" s="1"/>
  <c r="AJ51" i="13"/>
  <c r="AJ52" i="13" s="1"/>
  <c r="AK51" i="13"/>
  <c r="AK52" i="13" s="1"/>
  <c r="AL51" i="13"/>
  <c r="AL52" i="13" s="1"/>
  <c r="AO51" i="13"/>
  <c r="AO52" i="13" s="1"/>
  <c r="AP51" i="13"/>
  <c r="AP52" i="13" s="1"/>
  <c r="AS51" i="13"/>
  <c r="AS52" i="13" s="1"/>
  <c r="AT51" i="13"/>
  <c r="AW51" i="13"/>
  <c r="AW52" i="13" s="1"/>
  <c r="AX51" i="13"/>
  <c r="AY51" i="13"/>
  <c r="BE51" i="13"/>
  <c r="BB51" i="13" s="1"/>
  <c r="BF51" i="13"/>
  <c r="AX52" i="13"/>
  <c r="AY52" i="13"/>
  <c r="E53" i="13"/>
  <c r="F53" i="13"/>
  <c r="M53" i="13"/>
  <c r="N53" i="13"/>
  <c r="Q53" i="13"/>
  <c r="R53" i="13"/>
  <c r="Y53" i="13"/>
  <c r="Z53" i="13"/>
  <c r="AC53" i="13"/>
  <c r="AD53" i="13"/>
  <c r="AK53" i="13"/>
  <c r="AL53" i="13"/>
  <c r="AO53" i="13"/>
  <c r="AP53" i="13"/>
  <c r="AW53" i="13"/>
  <c r="AX53" i="13"/>
  <c r="D54" i="13"/>
  <c r="C54" i="13" s="1"/>
  <c r="H54" i="13"/>
  <c r="G54" i="13" s="1"/>
  <c r="L54" i="13"/>
  <c r="K54" i="13" s="1"/>
  <c r="P54" i="13"/>
  <c r="T54" i="13"/>
  <c r="S54" i="13" s="1"/>
  <c r="X54" i="13"/>
  <c r="W54" i="13" s="1"/>
  <c r="AB54" i="13"/>
  <c r="AA54" i="13" s="1"/>
  <c r="AF54" i="13"/>
  <c r="AE54" i="13" s="1"/>
  <c r="AJ54" i="13"/>
  <c r="AI54" i="13" s="1"/>
  <c r="AN54" i="13"/>
  <c r="AM54" i="13" s="1"/>
  <c r="AR54" i="13"/>
  <c r="AQ54" i="13" s="1"/>
  <c r="AV54" i="13"/>
  <c r="AU54" i="13" s="1"/>
  <c r="AZ54" i="13"/>
  <c r="D55" i="13"/>
  <c r="C55" i="13" s="1"/>
  <c r="H55" i="13"/>
  <c r="G55" i="13" s="1"/>
  <c r="L55" i="13"/>
  <c r="K55" i="13" s="1"/>
  <c r="P55" i="13"/>
  <c r="T55" i="13"/>
  <c r="S55" i="13" s="1"/>
  <c r="X55" i="13"/>
  <c r="W55" i="13" s="1"/>
  <c r="AB55" i="13"/>
  <c r="AA55" i="13" s="1"/>
  <c r="AF55" i="13"/>
  <c r="AE55" i="13" s="1"/>
  <c r="AJ55" i="13"/>
  <c r="AI55" i="13" s="1"/>
  <c r="AN55" i="13"/>
  <c r="AM55" i="13" s="1"/>
  <c r="AR55" i="13"/>
  <c r="AQ55" i="13" s="1"/>
  <c r="AV55" i="13"/>
  <c r="AU55" i="13" s="1"/>
  <c r="AZ55" i="13"/>
  <c r="D56" i="13"/>
  <c r="C56" i="13" s="1"/>
  <c r="H56" i="13"/>
  <c r="G56" i="13" s="1"/>
  <c r="L56" i="13"/>
  <c r="K56" i="13" s="1"/>
  <c r="P56" i="13"/>
  <c r="T56" i="13"/>
  <c r="S56" i="13" s="1"/>
  <c r="X56" i="13"/>
  <c r="W56" i="13" s="1"/>
  <c r="AB56" i="13"/>
  <c r="AA56" i="13" s="1"/>
  <c r="AF56" i="13"/>
  <c r="AE56" i="13" s="1"/>
  <c r="AJ56" i="13"/>
  <c r="AI56" i="13" s="1"/>
  <c r="AN56" i="13"/>
  <c r="AM56" i="13" s="1"/>
  <c r="AR56" i="13"/>
  <c r="AQ56" i="13" s="1"/>
  <c r="AV56" i="13"/>
  <c r="AU56" i="13" s="1"/>
  <c r="AZ56" i="13"/>
  <c r="D57" i="13"/>
  <c r="C57" i="13" s="1"/>
  <c r="H57" i="13"/>
  <c r="G57" i="13" s="1"/>
  <c r="L57" i="13"/>
  <c r="K57" i="13" s="1"/>
  <c r="P57" i="13"/>
  <c r="T57" i="13"/>
  <c r="S57" i="13" s="1"/>
  <c r="X57" i="13"/>
  <c r="W57" i="13" s="1"/>
  <c r="AB57" i="13"/>
  <c r="AA57" i="13" s="1"/>
  <c r="AF57" i="13"/>
  <c r="AE57" i="13" s="1"/>
  <c r="AJ57" i="13"/>
  <c r="AI57" i="13" s="1"/>
  <c r="AN57" i="13"/>
  <c r="AM57" i="13" s="1"/>
  <c r="AR57" i="13"/>
  <c r="AQ57" i="13" s="1"/>
  <c r="AV57" i="13"/>
  <c r="AU57" i="13" s="1"/>
  <c r="AZ57" i="13"/>
  <c r="D58" i="13"/>
  <c r="C58" i="13" s="1"/>
  <c r="H58" i="13"/>
  <c r="G58" i="13" s="1"/>
  <c r="L58" i="13"/>
  <c r="K58" i="13" s="1"/>
  <c r="P58" i="13"/>
  <c r="T58" i="13"/>
  <c r="S58" i="13" s="1"/>
  <c r="X58" i="13"/>
  <c r="W58" i="13" s="1"/>
  <c r="AB58" i="13"/>
  <c r="AA58" i="13" s="1"/>
  <c r="AF58" i="13"/>
  <c r="AE58" i="13" s="1"/>
  <c r="AJ58" i="13"/>
  <c r="AI58" i="13" s="1"/>
  <c r="AN58" i="13"/>
  <c r="AM58" i="13" s="1"/>
  <c r="AR58" i="13"/>
  <c r="AQ58" i="13" s="1"/>
  <c r="AV58" i="13"/>
  <c r="AU58" i="13" s="1"/>
  <c r="AZ58" i="13"/>
  <c r="D59" i="13"/>
  <c r="C59" i="13" s="1"/>
  <c r="H59" i="13"/>
  <c r="G59" i="13" s="1"/>
  <c r="L59" i="13"/>
  <c r="K59" i="13" s="1"/>
  <c r="P59" i="13"/>
  <c r="T59" i="13"/>
  <c r="S59" i="13" s="1"/>
  <c r="X59" i="13"/>
  <c r="W59" i="13" s="1"/>
  <c r="AB59" i="13"/>
  <c r="AA59" i="13" s="1"/>
  <c r="AF59" i="13"/>
  <c r="AE59" i="13" s="1"/>
  <c r="AJ59" i="13"/>
  <c r="AI59" i="13" s="1"/>
  <c r="AN59" i="13"/>
  <c r="AM59" i="13" s="1"/>
  <c r="AR59" i="13"/>
  <c r="AQ59" i="13" s="1"/>
  <c r="AV59" i="13"/>
  <c r="AU59" i="13" s="1"/>
  <c r="AZ59" i="13"/>
  <c r="E64" i="13"/>
  <c r="F64" i="13"/>
  <c r="I64" i="13"/>
  <c r="J64" i="13"/>
  <c r="M64" i="13"/>
  <c r="N64" i="13"/>
  <c r="Q64" i="13"/>
  <c r="R64" i="13"/>
  <c r="U64" i="13"/>
  <c r="V64" i="13"/>
  <c r="Y64" i="13"/>
  <c r="Z64" i="13"/>
  <c r="AC64" i="13"/>
  <c r="AD64" i="13"/>
  <c r="AG64" i="13"/>
  <c r="AH64" i="13"/>
  <c r="AK64" i="13"/>
  <c r="AL64" i="13"/>
  <c r="AO64" i="13"/>
  <c r="AP64" i="13"/>
  <c r="AS64" i="13"/>
  <c r="AT64" i="13"/>
  <c r="AW64" i="13"/>
  <c r="AX64" i="13"/>
  <c r="D71" i="13"/>
  <c r="C71" i="13" s="1"/>
  <c r="H71" i="13"/>
  <c r="G71" i="13" s="1"/>
  <c r="L71" i="13"/>
  <c r="K71" i="13" s="1"/>
  <c r="P71" i="13"/>
  <c r="O71" i="13" s="1"/>
  <c r="T71" i="13"/>
  <c r="S71" i="13" s="1"/>
  <c r="X71" i="13"/>
  <c r="W71" i="13" s="1"/>
  <c r="AB71" i="13"/>
  <c r="AA71" i="13" s="1"/>
  <c r="AF71" i="13"/>
  <c r="AE71" i="13" s="1"/>
  <c r="AJ71" i="13"/>
  <c r="AI71" i="13" s="1"/>
  <c r="AN71" i="13"/>
  <c r="AM71" i="13" s="1"/>
  <c r="AR71" i="13"/>
  <c r="AQ71" i="13" s="1"/>
  <c r="AV71" i="13"/>
  <c r="AU71" i="13" s="1"/>
  <c r="AZ71" i="13"/>
  <c r="D72" i="13"/>
  <c r="C72" i="13" s="1"/>
  <c r="H72" i="13"/>
  <c r="G72" i="13" s="1"/>
  <c r="L72" i="13"/>
  <c r="K72" i="13" s="1"/>
  <c r="P72" i="13"/>
  <c r="O72" i="13" s="1"/>
  <c r="T72" i="13"/>
  <c r="S72" i="13" s="1"/>
  <c r="X72" i="13"/>
  <c r="W72" i="13" s="1"/>
  <c r="AB72" i="13"/>
  <c r="AA72" i="13" s="1"/>
  <c r="AF72" i="13"/>
  <c r="AE72" i="13" s="1"/>
  <c r="AJ72" i="13"/>
  <c r="AI72" i="13" s="1"/>
  <c r="AN72" i="13"/>
  <c r="AM72" i="13" s="1"/>
  <c r="AR72" i="13"/>
  <c r="AQ72" i="13" s="1"/>
  <c r="AV72" i="13"/>
  <c r="AU72" i="13" s="1"/>
  <c r="AZ72" i="13"/>
  <c r="D73" i="13"/>
  <c r="C73" i="13" s="1"/>
  <c r="H73" i="13"/>
  <c r="G73" i="13" s="1"/>
  <c r="L73" i="13"/>
  <c r="K73" i="13" s="1"/>
  <c r="P73" i="13"/>
  <c r="O73" i="13" s="1"/>
  <c r="T73" i="13"/>
  <c r="S73" i="13" s="1"/>
  <c r="X73" i="13"/>
  <c r="W73" i="13" s="1"/>
  <c r="AB73" i="13"/>
  <c r="AA73" i="13" s="1"/>
  <c r="AF73" i="13"/>
  <c r="AE73" i="13" s="1"/>
  <c r="AJ73" i="13"/>
  <c r="AI73" i="13" s="1"/>
  <c r="AN73" i="13"/>
  <c r="AM73" i="13" s="1"/>
  <c r="AR73" i="13"/>
  <c r="AQ73" i="13" s="1"/>
  <c r="AV73" i="13"/>
  <c r="AU73" i="13" s="1"/>
  <c r="AZ73" i="13"/>
  <c r="D74" i="13"/>
  <c r="C74" i="13" s="1"/>
  <c r="H74" i="13"/>
  <c r="G74" i="13" s="1"/>
  <c r="L74" i="13"/>
  <c r="K74" i="13" s="1"/>
  <c r="P74" i="13"/>
  <c r="O74" i="13" s="1"/>
  <c r="T74" i="13"/>
  <c r="S74" i="13" s="1"/>
  <c r="X74" i="13"/>
  <c r="W74" i="13" s="1"/>
  <c r="AB74" i="13"/>
  <c r="AA74" i="13" s="1"/>
  <c r="AF74" i="13"/>
  <c r="AE74" i="13" s="1"/>
  <c r="AJ74" i="13"/>
  <c r="AI74" i="13" s="1"/>
  <c r="AN74" i="13"/>
  <c r="AM74" i="13" s="1"/>
  <c r="AR74" i="13"/>
  <c r="AQ74" i="13" s="1"/>
  <c r="AV74" i="13"/>
  <c r="AU74" i="13" s="1"/>
  <c r="AZ74" i="13"/>
  <c r="D75" i="13"/>
  <c r="C75" i="13" s="1"/>
  <c r="H75" i="13"/>
  <c r="G75" i="13" s="1"/>
  <c r="L75" i="13"/>
  <c r="K75" i="13" s="1"/>
  <c r="P75" i="13"/>
  <c r="O75" i="13" s="1"/>
  <c r="T75" i="13"/>
  <c r="S75" i="13" s="1"/>
  <c r="X75" i="13"/>
  <c r="W75" i="13" s="1"/>
  <c r="AB75" i="13"/>
  <c r="AA75" i="13" s="1"/>
  <c r="AF75" i="13"/>
  <c r="AE75" i="13" s="1"/>
  <c r="AJ75" i="13"/>
  <c r="AI75" i="13" s="1"/>
  <c r="AN75" i="13"/>
  <c r="AM75" i="13" s="1"/>
  <c r="AR75" i="13"/>
  <c r="AQ75" i="13" s="1"/>
  <c r="AV75" i="13"/>
  <c r="AU75" i="13" s="1"/>
  <c r="AZ75" i="13"/>
  <c r="D76" i="13"/>
  <c r="C76" i="13" s="1"/>
  <c r="H76" i="13"/>
  <c r="G76" i="13" s="1"/>
  <c r="L76" i="13"/>
  <c r="K76" i="13" s="1"/>
  <c r="P76" i="13"/>
  <c r="O76" i="13" s="1"/>
  <c r="T76" i="13"/>
  <c r="S76" i="13" s="1"/>
  <c r="X76" i="13"/>
  <c r="W76" i="13" s="1"/>
  <c r="AB76" i="13"/>
  <c r="AA76" i="13" s="1"/>
  <c r="AF76" i="13"/>
  <c r="AE76" i="13" s="1"/>
  <c r="AJ76" i="13"/>
  <c r="AI76" i="13" s="1"/>
  <c r="AN76" i="13"/>
  <c r="AM76" i="13" s="1"/>
  <c r="AR76" i="13"/>
  <c r="AQ76" i="13" s="1"/>
  <c r="AV76" i="13"/>
  <c r="AU76" i="13" s="1"/>
  <c r="AZ76" i="13"/>
  <c r="D77" i="13"/>
  <c r="C77" i="13" s="1"/>
  <c r="H77" i="13"/>
  <c r="G77" i="13" s="1"/>
  <c r="L77" i="13"/>
  <c r="K77" i="13" s="1"/>
  <c r="P77" i="13"/>
  <c r="O77" i="13" s="1"/>
  <c r="T77" i="13"/>
  <c r="S77" i="13" s="1"/>
  <c r="X77" i="13"/>
  <c r="W77" i="13" s="1"/>
  <c r="AB77" i="13"/>
  <c r="AA77" i="13" s="1"/>
  <c r="AF77" i="13"/>
  <c r="AE77" i="13" s="1"/>
  <c r="AJ77" i="13"/>
  <c r="AI77" i="13" s="1"/>
  <c r="AN77" i="13"/>
  <c r="AM77" i="13" s="1"/>
  <c r="AR77" i="13"/>
  <c r="AQ77" i="13" s="1"/>
  <c r="AV77" i="13"/>
  <c r="AU77" i="13" s="1"/>
  <c r="AZ77" i="13"/>
  <c r="D78" i="13"/>
  <c r="C78" i="13" s="1"/>
  <c r="H78" i="13"/>
  <c r="G78" i="13" s="1"/>
  <c r="L78" i="13"/>
  <c r="K78" i="13" s="1"/>
  <c r="P78" i="13"/>
  <c r="O78" i="13" s="1"/>
  <c r="T78" i="13"/>
  <c r="S78" i="13" s="1"/>
  <c r="X78" i="13"/>
  <c r="W78" i="13" s="1"/>
  <c r="AB78" i="13"/>
  <c r="AA78" i="13" s="1"/>
  <c r="AF78" i="13"/>
  <c r="AE78" i="13" s="1"/>
  <c r="AJ78" i="13"/>
  <c r="AI78" i="13" s="1"/>
  <c r="AN78" i="13"/>
  <c r="AM78" i="13" s="1"/>
  <c r="AR78" i="13"/>
  <c r="AQ78" i="13" s="1"/>
  <c r="AV78" i="13"/>
  <c r="AU78" i="13" s="1"/>
  <c r="AZ78" i="13"/>
  <c r="D79" i="13"/>
  <c r="C79" i="13" s="1"/>
  <c r="H79" i="13"/>
  <c r="G79" i="13" s="1"/>
  <c r="L79" i="13"/>
  <c r="K79" i="13" s="1"/>
  <c r="P79" i="13"/>
  <c r="O79" i="13" s="1"/>
  <c r="T79" i="13"/>
  <c r="S79" i="13" s="1"/>
  <c r="X79" i="13"/>
  <c r="W79" i="13" s="1"/>
  <c r="AB79" i="13"/>
  <c r="AA79" i="13" s="1"/>
  <c r="AF79" i="13"/>
  <c r="AE79" i="13" s="1"/>
  <c r="AJ79" i="13"/>
  <c r="AI79" i="13" s="1"/>
  <c r="AN79" i="13"/>
  <c r="AM79" i="13" s="1"/>
  <c r="AR79" i="13"/>
  <c r="AQ79" i="13" s="1"/>
  <c r="AV79" i="13"/>
  <c r="AU79" i="13" s="1"/>
  <c r="AZ79" i="13"/>
  <c r="D80" i="13"/>
  <c r="C80" i="13" s="1"/>
  <c r="H80" i="13"/>
  <c r="G80" i="13" s="1"/>
  <c r="L80" i="13"/>
  <c r="K80" i="13" s="1"/>
  <c r="P80" i="13"/>
  <c r="O80" i="13" s="1"/>
  <c r="T80" i="13"/>
  <c r="S80" i="13" s="1"/>
  <c r="X80" i="13"/>
  <c r="W80" i="13" s="1"/>
  <c r="AB80" i="13"/>
  <c r="AA80" i="13" s="1"/>
  <c r="AF80" i="13"/>
  <c r="AE80" i="13" s="1"/>
  <c r="AJ80" i="13"/>
  <c r="AI80" i="13" s="1"/>
  <c r="AN80" i="13"/>
  <c r="AM80" i="13" s="1"/>
  <c r="AR80" i="13"/>
  <c r="AQ80" i="13" s="1"/>
  <c r="AV80" i="13"/>
  <c r="AU80" i="13" s="1"/>
  <c r="AZ80" i="13"/>
  <c r="D81" i="13"/>
  <c r="C81" i="13" s="1"/>
  <c r="H81" i="13"/>
  <c r="G81" i="13" s="1"/>
  <c r="L81" i="13"/>
  <c r="K81" i="13" s="1"/>
  <c r="P81" i="13"/>
  <c r="O81" i="13" s="1"/>
  <c r="T81" i="13"/>
  <c r="S81" i="13" s="1"/>
  <c r="X81" i="13"/>
  <c r="W81" i="13" s="1"/>
  <c r="AB81" i="13"/>
  <c r="AA81" i="13" s="1"/>
  <c r="AF81" i="13"/>
  <c r="AE81" i="13" s="1"/>
  <c r="AJ81" i="13"/>
  <c r="AI81" i="13" s="1"/>
  <c r="AN81" i="13"/>
  <c r="AM81" i="13" s="1"/>
  <c r="AR81" i="13"/>
  <c r="AQ81" i="13" s="1"/>
  <c r="AV81" i="13"/>
  <c r="AU81" i="13" s="1"/>
  <c r="AZ81" i="13"/>
  <c r="D82" i="13"/>
  <c r="C82" i="13" s="1"/>
  <c r="H82" i="13"/>
  <c r="G82" i="13" s="1"/>
  <c r="L82" i="13"/>
  <c r="K82" i="13" s="1"/>
  <c r="P82" i="13"/>
  <c r="O82" i="13" s="1"/>
  <c r="T82" i="13"/>
  <c r="S82" i="13" s="1"/>
  <c r="X82" i="13"/>
  <c r="W82" i="13" s="1"/>
  <c r="AB82" i="13"/>
  <c r="AA82" i="13" s="1"/>
  <c r="AF82" i="13"/>
  <c r="AE82" i="13" s="1"/>
  <c r="AJ82" i="13"/>
  <c r="AI82" i="13" s="1"/>
  <c r="AN82" i="13"/>
  <c r="AM82" i="13" s="1"/>
  <c r="AR82" i="13"/>
  <c r="AQ82" i="13" s="1"/>
  <c r="AV82" i="13"/>
  <c r="AU82" i="13" s="1"/>
  <c r="AZ82" i="13"/>
  <c r="D83" i="13"/>
  <c r="C83" i="13" s="1"/>
  <c r="H83" i="13"/>
  <c r="G83" i="13" s="1"/>
  <c r="L83" i="13"/>
  <c r="K83" i="13" s="1"/>
  <c r="P83" i="13"/>
  <c r="O83" i="13" s="1"/>
  <c r="T83" i="13"/>
  <c r="S83" i="13" s="1"/>
  <c r="X83" i="13"/>
  <c r="W83" i="13" s="1"/>
  <c r="AB83" i="13"/>
  <c r="AA83" i="13" s="1"/>
  <c r="AF83" i="13"/>
  <c r="AE83" i="13" s="1"/>
  <c r="AJ83" i="13"/>
  <c r="AI83" i="13" s="1"/>
  <c r="AN83" i="13"/>
  <c r="AM83" i="13" s="1"/>
  <c r="AR83" i="13"/>
  <c r="AQ83" i="13" s="1"/>
  <c r="AV83" i="13"/>
  <c r="AU83" i="13" s="1"/>
  <c r="AZ83" i="13"/>
  <c r="D84" i="13"/>
  <c r="C84" i="13" s="1"/>
  <c r="H84" i="13"/>
  <c r="G84" i="13" s="1"/>
  <c r="L84" i="13"/>
  <c r="K84" i="13" s="1"/>
  <c r="P84" i="13"/>
  <c r="O84" i="13" s="1"/>
  <c r="T84" i="13"/>
  <c r="S84" i="13" s="1"/>
  <c r="X84" i="13"/>
  <c r="W84" i="13" s="1"/>
  <c r="AB84" i="13"/>
  <c r="AA84" i="13" s="1"/>
  <c r="AF84" i="13"/>
  <c r="AE84" i="13" s="1"/>
  <c r="AJ84" i="13"/>
  <c r="AI84" i="13" s="1"/>
  <c r="AN84" i="13"/>
  <c r="AM84" i="13" s="1"/>
  <c r="AR84" i="13"/>
  <c r="AQ84" i="13" s="1"/>
  <c r="AV84" i="13"/>
  <c r="AU84" i="13" s="1"/>
  <c r="AZ84" i="13"/>
  <c r="D85" i="13"/>
  <c r="C85" i="13" s="1"/>
  <c r="H85" i="13"/>
  <c r="G85" i="13" s="1"/>
  <c r="L85" i="13"/>
  <c r="K85" i="13" s="1"/>
  <c r="P85" i="13"/>
  <c r="O85" i="13" s="1"/>
  <c r="T85" i="13"/>
  <c r="S85" i="13" s="1"/>
  <c r="X85" i="13"/>
  <c r="W85" i="13" s="1"/>
  <c r="AB85" i="13"/>
  <c r="AA85" i="13" s="1"/>
  <c r="AF85" i="13"/>
  <c r="AE85" i="13" s="1"/>
  <c r="AJ85" i="13"/>
  <c r="AI85" i="13" s="1"/>
  <c r="AN85" i="13"/>
  <c r="AM85" i="13" s="1"/>
  <c r="AR85" i="13"/>
  <c r="AQ85" i="13" s="1"/>
  <c r="AV85" i="13"/>
  <c r="AU85" i="13" s="1"/>
  <c r="AZ85" i="13"/>
  <c r="D86" i="13"/>
  <c r="C86" i="13" s="1"/>
  <c r="H86" i="13"/>
  <c r="G86" i="13" s="1"/>
  <c r="L86" i="13"/>
  <c r="K86" i="13" s="1"/>
  <c r="P86" i="13"/>
  <c r="O86" i="13" s="1"/>
  <c r="T86" i="13"/>
  <c r="S86" i="13" s="1"/>
  <c r="X86" i="13"/>
  <c r="W86" i="13" s="1"/>
  <c r="AB86" i="13"/>
  <c r="AA86" i="13" s="1"/>
  <c r="AF86" i="13"/>
  <c r="AE86" i="13" s="1"/>
  <c r="AJ86" i="13"/>
  <c r="AI86" i="13" s="1"/>
  <c r="AN86" i="13"/>
  <c r="AM86" i="13" s="1"/>
  <c r="AR86" i="13"/>
  <c r="AQ86" i="13" s="1"/>
  <c r="AV86" i="13"/>
  <c r="AU86" i="13" s="1"/>
  <c r="AZ86" i="13"/>
  <c r="D87" i="13"/>
  <c r="C87" i="13" s="1"/>
  <c r="H87" i="13"/>
  <c r="G87" i="13" s="1"/>
  <c r="L87" i="13"/>
  <c r="K87" i="13" s="1"/>
  <c r="P87" i="13"/>
  <c r="O87" i="13" s="1"/>
  <c r="T87" i="13"/>
  <c r="S87" i="13" s="1"/>
  <c r="X87" i="13"/>
  <c r="W87" i="13" s="1"/>
  <c r="AB87" i="13"/>
  <c r="AA87" i="13" s="1"/>
  <c r="AF87" i="13"/>
  <c r="AE87" i="13" s="1"/>
  <c r="AJ87" i="13"/>
  <c r="AI87" i="13" s="1"/>
  <c r="AN87" i="13"/>
  <c r="AM87" i="13" s="1"/>
  <c r="AR87" i="13"/>
  <c r="AQ87" i="13" s="1"/>
  <c r="AV87" i="13"/>
  <c r="AU87" i="13" s="1"/>
  <c r="AZ87" i="13"/>
  <c r="D88" i="13"/>
  <c r="C88" i="13" s="1"/>
  <c r="H88" i="13"/>
  <c r="G88" i="13" s="1"/>
  <c r="L88" i="13"/>
  <c r="K88" i="13" s="1"/>
  <c r="P88" i="13"/>
  <c r="T88" i="13"/>
  <c r="S88" i="13" s="1"/>
  <c r="X88" i="13"/>
  <c r="W88" i="13" s="1"/>
  <c r="AB88" i="13"/>
  <c r="AA88" i="13" s="1"/>
  <c r="AF88" i="13"/>
  <c r="AE88" i="13" s="1"/>
  <c r="AJ88" i="13"/>
  <c r="AI88" i="13" s="1"/>
  <c r="AN88" i="13"/>
  <c r="AM88" i="13" s="1"/>
  <c r="AR88" i="13"/>
  <c r="AQ88" i="13" s="1"/>
  <c r="AV88" i="13"/>
  <c r="AU88" i="13" s="1"/>
  <c r="AZ88" i="13"/>
  <c r="D91" i="13"/>
  <c r="C91" i="13" s="1"/>
  <c r="H91" i="13"/>
  <c r="G91" i="13" s="1"/>
  <c r="L91" i="13"/>
  <c r="K91" i="13" s="1"/>
  <c r="P91" i="13"/>
  <c r="O91" i="13" s="1"/>
  <c r="T91" i="13"/>
  <c r="S91" i="13" s="1"/>
  <c r="X91" i="13"/>
  <c r="W91" i="13" s="1"/>
  <c r="AB91" i="13"/>
  <c r="AA91" i="13" s="1"/>
  <c r="AF91" i="13"/>
  <c r="AE91" i="13" s="1"/>
  <c r="AJ91" i="13"/>
  <c r="AI91" i="13" s="1"/>
  <c r="AN91" i="13"/>
  <c r="AM91" i="13" s="1"/>
  <c r="AR91" i="13"/>
  <c r="AQ91" i="13" s="1"/>
  <c r="AV91" i="13"/>
  <c r="AU91" i="13" s="1"/>
  <c r="AZ91" i="13"/>
  <c r="D92" i="13"/>
  <c r="C92" i="13" s="1"/>
  <c r="H92" i="13"/>
  <c r="G92" i="13" s="1"/>
  <c r="L92" i="13"/>
  <c r="K92" i="13" s="1"/>
  <c r="P92" i="13"/>
  <c r="O92" i="13" s="1"/>
  <c r="T92" i="13"/>
  <c r="S92" i="13" s="1"/>
  <c r="X92" i="13"/>
  <c r="W92" i="13" s="1"/>
  <c r="AB92" i="13"/>
  <c r="AA92" i="13" s="1"/>
  <c r="AF92" i="13"/>
  <c r="AE92" i="13" s="1"/>
  <c r="AJ92" i="13"/>
  <c r="AI92" i="13" s="1"/>
  <c r="AN92" i="13"/>
  <c r="AM92" i="13" s="1"/>
  <c r="AR92" i="13"/>
  <c r="AQ92" i="13" s="1"/>
  <c r="AV92" i="13"/>
  <c r="AU92" i="13" s="1"/>
  <c r="AZ92" i="13"/>
  <c r="D93" i="13"/>
  <c r="C93" i="13" s="1"/>
  <c r="H93" i="13"/>
  <c r="G93" i="13" s="1"/>
  <c r="L93" i="13"/>
  <c r="K93" i="13" s="1"/>
  <c r="P93" i="13"/>
  <c r="O93" i="13" s="1"/>
  <c r="T93" i="13"/>
  <c r="S93" i="13" s="1"/>
  <c r="X93" i="13"/>
  <c r="W93" i="13" s="1"/>
  <c r="AB93" i="13"/>
  <c r="AA93" i="13" s="1"/>
  <c r="AF93" i="13"/>
  <c r="AE93" i="13" s="1"/>
  <c r="AJ93" i="13"/>
  <c r="AI93" i="13" s="1"/>
  <c r="AN93" i="13"/>
  <c r="AM93" i="13" s="1"/>
  <c r="AR93" i="13"/>
  <c r="AQ93" i="13" s="1"/>
  <c r="AV93" i="13"/>
  <c r="AU93" i="13" s="1"/>
  <c r="AZ93" i="13"/>
  <c r="AN51" i="13" l="1"/>
  <c r="AN52" i="13" s="1"/>
  <c r="AV51" i="13"/>
  <c r="AV52" i="13" s="1"/>
  <c r="AV14" i="13"/>
  <c r="AR39" i="13"/>
  <c r="AR41" i="13" s="1"/>
  <c r="C33" i="17"/>
  <c r="C34" i="17" s="1"/>
  <c r="C30" i="17"/>
  <c r="D29" i="17"/>
  <c r="E8" i="17"/>
  <c r="F8" i="17" s="1"/>
  <c r="H8" i="17"/>
  <c r="I8" i="17" s="1"/>
  <c r="D12" i="17"/>
  <c r="H11" i="17"/>
  <c r="I11" i="17" s="1"/>
  <c r="G33" i="17"/>
  <c r="G30" i="17"/>
  <c r="AV13" i="13"/>
  <c r="P39" i="13"/>
  <c r="P41" i="13" s="1"/>
  <c r="AN39" i="13"/>
  <c r="AN41" i="13" s="1"/>
  <c r="AV53" i="13"/>
  <c r="H51" i="13"/>
  <c r="H52" i="13" s="1"/>
  <c r="AV36" i="13"/>
  <c r="AV29" i="13"/>
  <c r="AT53" i="13"/>
  <c r="AT52" i="13"/>
  <c r="AH53" i="13"/>
  <c r="AH52" i="13"/>
  <c r="V53" i="13"/>
  <c r="V52" i="13"/>
  <c r="J53" i="13"/>
  <c r="J52" i="13"/>
  <c r="O34" i="13"/>
  <c r="AJ53" i="13"/>
  <c r="AE94" i="13"/>
  <c r="W45" i="13"/>
  <c r="W41" i="13" s="1"/>
  <c r="X28" i="13"/>
  <c r="X36" i="13" s="1"/>
  <c r="AB15" i="13"/>
  <c r="AB14" i="13" s="1"/>
  <c r="L39" i="13"/>
  <c r="L41" i="13" s="1"/>
  <c r="AZ21" i="13"/>
  <c r="AZ24" i="13" s="1"/>
  <c r="X39" i="13"/>
  <c r="X48" i="13" s="1"/>
  <c r="G30" i="13"/>
  <c r="AB28" i="13"/>
  <c r="AB36" i="13" s="1"/>
  <c r="H28" i="13"/>
  <c r="H36" i="13" s="1"/>
  <c r="AJ64" i="13"/>
  <c r="D28" i="13"/>
  <c r="D36" i="13" s="1"/>
  <c r="AZ60" i="13"/>
  <c r="AZ62" i="13" s="1"/>
  <c r="T39" i="13"/>
  <c r="T41" i="13" s="1"/>
  <c r="AZ33" i="13"/>
  <c r="AZ34" i="13" s="1"/>
  <c r="P28" i="13"/>
  <c r="AU60" i="13"/>
  <c r="AU63" i="13" s="1"/>
  <c r="W47" i="13"/>
  <c r="AF28" i="13"/>
  <c r="AF36" i="13" s="1"/>
  <c r="AZ9" i="13"/>
  <c r="C9" i="13"/>
  <c r="BA28" i="13"/>
  <c r="H15" i="13"/>
  <c r="H25" i="13" s="1"/>
  <c r="P51" i="13"/>
  <c r="P52" i="13" s="1"/>
  <c r="AV39" i="13"/>
  <c r="AV41" i="13" s="1"/>
  <c r="T15" i="13"/>
  <c r="T25" i="13" s="1"/>
  <c r="G34" i="13"/>
  <c r="K9" i="13"/>
  <c r="AI33" i="13"/>
  <c r="AI35" i="13" s="1"/>
  <c r="AB51" i="13"/>
  <c r="AB52" i="13" s="1"/>
  <c r="AU45" i="13"/>
  <c r="AU46" i="13" s="1"/>
  <c r="AN28" i="13"/>
  <c r="AN29" i="13" s="1"/>
  <c r="AJ39" i="13"/>
  <c r="AJ48" i="13" s="1"/>
  <c r="AN53" i="13"/>
  <c r="AJ15" i="13"/>
  <c r="AJ25" i="13" s="1"/>
  <c r="D15" i="13"/>
  <c r="D14" i="13" s="1"/>
  <c r="AR48" i="13"/>
  <c r="S45" i="13"/>
  <c r="S47" i="13" s="1"/>
  <c r="X51" i="13"/>
  <c r="X64" i="13" s="1"/>
  <c r="AZ40" i="13"/>
  <c r="D39" i="13"/>
  <c r="D41" i="13" s="1"/>
  <c r="G29" i="13"/>
  <c r="AJ28" i="13"/>
  <c r="AA9" i="13"/>
  <c r="AV64" i="13"/>
  <c r="L53" i="13"/>
  <c r="G35" i="13"/>
  <c r="AV30" i="13"/>
  <c r="AF15" i="13"/>
  <c r="AF14" i="13" s="1"/>
  <c r="P15" i="13"/>
  <c r="L64" i="13"/>
  <c r="AF51" i="13"/>
  <c r="AF52" i="13" s="1"/>
  <c r="D51" i="13"/>
  <c r="D53" i="13" s="1"/>
  <c r="AB39" i="13"/>
  <c r="C51" i="13"/>
  <c r="C52" i="13" s="1"/>
  <c r="L28" i="13"/>
  <c r="L36" i="13" s="1"/>
  <c r="AR15" i="13"/>
  <c r="AR14" i="13" s="1"/>
  <c r="L15" i="13"/>
  <c r="L14" i="13" s="1"/>
  <c r="AN15" i="13"/>
  <c r="AN25" i="13" s="1"/>
  <c r="H64" i="13"/>
  <c r="AZ52" i="13"/>
  <c r="X14" i="13"/>
  <c r="AN64" i="13"/>
  <c r="X25" i="13"/>
  <c r="T64" i="13"/>
  <c r="T52" i="13"/>
  <c r="AZ94" i="13"/>
  <c r="AQ94" i="13"/>
  <c r="AA94" i="13"/>
  <c r="S94" i="13"/>
  <c r="O94" i="13"/>
  <c r="K94" i="13"/>
  <c r="G94" i="13"/>
  <c r="AY82" i="13"/>
  <c r="BA80" i="13"/>
  <c r="BF80" i="13" s="1"/>
  <c r="BA76" i="13"/>
  <c r="BE76" i="13" s="1"/>
  <c r="BB76" i="13" s="1"/>
  <c r="AZ89" i="13"/>
  <c r="B3" i="14" s="1"/>
  <c r="B21" i="14"/>
  <c r="AA89" i="13"/>
  <c r="AU89" i="13"/>
  <c r="AQ60" i="13"/>
  <c r="AM60" i="13"/>
  <c r="AM63" i="13" s="1"/>
  <c r="W60" i="13"/>
  <c r="W53" i="13" s="1"/>
  <c r="AA45" i="13"/>
  <c r="AA41" i="13" s="1"/>
  <c r="AZ45" i="13"/>
  <c r="O42" i="13"/>
  <c r="BA42" i="13" s="1"/>
  <c r="AM45" i="13"/>
  <c r="AM46" i="13" s="1"/>
  <c r="K45" i="13"/>
  <c r="K41" i="13" s="1"/>
  <c r="C45" i="13"/>
  <c r="C47" i="13" s="1"/>
  <c r="BA32" i="13"/>
  <c r="BE32" i="13" s="1"/>
  <c r="BB32" i="13" s="1"/>
  <c r="AU33" i="13"/>
  <c r="AU35" i="13" s="1"/>
  <c r="AM33" i="13"/>
  <c r="AM35" i="13" s="1"/>
  <c r="AE33" i="13"/>
  <c r="AE34" i="13" s="1"/>
  <c r="S33" i="13"/>
  <c r="S34" i="13" s="1"/>
  <c r="K33" i="13"/>
  <c r="K34" i="13" s="1"/>
  <c r="B22" i="14"/>
  <c r="W21" i="13"/>
  <c r="W23" i="13" s="1"/>
  <c r="AA21" i="13"/>
  <c r="AA24" i="13" s="1"/>
  <c r="G21" i="13"/>
  <c r="G14" i="13" s="1"/>
  <c r="O21" i="13"/>
  <c r="O24" i="13" s="1"/>
  <c r="BA6" i="13"/>
  <c r="BE6" i="13" s="1"/>
  <c r="AY80" i="13"/>
  <c r="AY81" i="13" s="1"/>
  <c r="BA81" i="13"/>
  <c r="AY92" i="13"/>
  <c r="BA86" i="13"/>
  <c r="AY77" i="13"/>
  <c r="BA77" i="13"/>
  <c r="BA84" i="13"/>
  <c r="W63" i="13"/>
  <c r="BA72" i="13"/>
  <c r="C89" i="13"/>
  <c r="AY72" i="13"/>
  <c r="AY76" i="13"/>
  <c r="AQ89" i="13"/>
  <c r="W94" i="13"/>
  <c r="G39" i="13"/>
  <c r="AU94" i="13"/>
  <c r="AU95" i="13" s="1"/>
  <c r="BA88" i="13"/>
  <c r="AY83" i="13"/>
  <c r="BA83" i="13"/>
  <c r="BA74" i="13"/>
  <c r="AY74" i="13"/>
  <c r="K60" i="13"/>
  <c r="BA54" i="13"/>
  <c r="K89" i="13"/>
  <c r="O89" i="13"/>
  <c r="BA93" i="13"/>
  <c r="AY93" i="13"/>
  <c r="AE89" i="13"/>
  <c r="W89" i="13"/>
  <c r="BA82" i="13"/>
  <c r="G89" i="13"/>
  <c r="AM94" i="13"/>
  <c r="AY79" i="13"/>
  <c r="BA79" i="13"/>
  <c r="AI94" i="13"/>
  <c r="BA91" i="13"/>
  <c r="C94" i="13"/>
  <c r="AY91" i="13"/>
  <c r="AY87" i="13"/>
  <c r="BA87" i="13"/>
  <c r="AY78" i="13"/>
  <c r="S89" i="13"/>
  <c r="AM89" i="13"/>
  <c r="AY85" i="13"/>
  <c r="BA85" i="13"/>
  <c r="BA78" i="13"/>
  <c r="AI89" i="13"/>
  <c r="G60" i="13"/>
  <c r="G63" i="13" s="1"/>
  <c r="C33" i="13"/>
  <c r="AY31" i="13"/>
  <c r="AY33" i="13" s="1"/>
  <c r="BA31" i="13"/>
  <c r="I30" i="13"/>
  <c r="I36" i="13"/>
  <c r="I29" i="13"/>
  <c r="BA20" i="13"/>
  <c r="AY75" i="13"/>
  <c r="O56" i="13"/>
  <c r="BA56" i="13" s="1"/>
  <c r="O58" i="13"/>
  <c r="BA58" i="13" s="1"/>
  <c r="O57" i="13"/>
  <c r="BA57" i="13" s="1"/>
  <c r="O55" i="13"/>
  <c r="BA55" i="13" s="1"/>
  <c r="AY88" i="13"/>
  <c r="AQ45" i="13"/>
  <c r="AQ46" i="13" s="1"/>
  <c r="C21" i="13"/>
  <c r="O59" i="13"/>
  <c r="BA59" i="13" s="1"/>
  <c r="O51" i="13"/>
  <c r="O52" i="13" s="1"/>
  <c r="AE30" i="13"/>
  <c r="AL36" i="13"/>
  <c r="AL29" i="13"/>
  <c r="AL30" i="13"/>
  <c r="V30" i="13"/>
  <c r="V36" i="13"/>
  <c r="V29" i="13"/>
  <c r="AI21" i="13"/>
  <c r="AI23" i="13" s="1"/>
  <c r="AQ8" i="13"/>
  <c r="AI40" i="13"/>
  <c r="AE60" i="13"/>
  <c r="AE63" i="13" s="1"/>
  <c r="BA75" i="13"/>
  <c r="S60" i="13"/>
  <c r="AV40" i="13"/>
  <c r="AM62" i="13"/>
  <c r="AF39" i="13"/>
  <c r="AF40" i="13" s="1"/>
  <c r="W9" i="13"/>
  <c r="W29" i="13"/>
  <c r="AY86" i="13"/>
  <c r="AY84" i="13"/>
  <c r="AI45" i="13"/>
  <c r="AA33" i="13"/>
  <c r="S21" i="13"/>
  <c r="AE7" i="13"/>
  <c r="BA7" i="13" s="1"/>
  <c r="T28" i="13"/>
  <c r="T29" i="13" s="1"/>
  <c r="BA92" i="13"/>
  <c r="G45" i="13"/>
  <c r="X30" i="13"/>
  <c r="AQ21" i="13"/>
  <c r="AU9" i="13"/>
  <c r="AU29" i="13"/>
  <c r="S29" i="13"/>
  <c r="AA60" i="13"/>
  <c r="AA53" i="13" s="1"/>
  <c r="H39" i="13"/>
  <c r="H41" i="13" s="1"/>
  <c r="AY71" i="13"/>
  <c r="BA71" i="13"/>
  <c r="AE45" i="13"/>
  <c r="W33" i="13"/>
  <c r="BA18" i="13"/>
  <c r="AR28" i="13"/>
  <c r="AR30" i="13" s="1"/>
  <c r="O29" i="13"/>
  <c r="O30" i="13"/>
  <c r="O35" i="13"/>
  <c r="K13" i="13"/>
  <c r="AM21" i="13"/>
  <c r="U53" i="13"/>
  <c r="I53" i="13"/>
  <c r="AY43" i="13"/>
  <c r="AQ33" i="13"/>
  <c r="AQ30" i="13" s="1"/>
  <c r="BA17" i="13"/>
  <c r="AB13" i="13"/>
  <c r="AB25" i="13"/>
  <c r="AM29" i="13"/>
  <c r="AM9" i="13"/>
  <c r="AI13" i="13"/>
  <c r="AI9" i="13"/>
  <c r="AI14" i="13"/>
  <c r="AY73" i="13"/>
  <c r="BA73" i="13"/>
  <c r="AI60" i="13"/>
  <c r="AS53" i="13"/>
  <c r="AG53" i="13"/>
  <c r="AP13" i="13"/>
  <c r="AP14" i="13"/>
  <c r="AP25" i="13"/>
  <c r="Z14" i="13"/>
  <c r="Z13" i="13"/>
  <c r="J13" i="13"/>
  <c r="J14" i="13"/>
  <c r="J25" i="13"/>
  <c r="O9" i="13"/>
  <c r="S39" i="13"/>
  <c r="C60" i="13"/>
  <c r="AR51" i="13"/>
  <c r="AR52" i="13" s="1"/>
  <c r="G51" i="13"/>
  <c r="BE28" i="13"/>
  <c r="BB28" i="13" s="1"/>
  <c r="BF28" i="13"/>
  <c r="AU21" i="13"/>
  <c r="K21" i="13"/>
  <c r="BA16" i="13"/>
  <c r="T53" i="13"/>
  <c r="O44" i="13"/>
  <c r="O39" i="13"/>
  <c r="O40" i="13" s="1"/>
  <c r="G9" i="13"/>
  <c r="BA5" i="13"/>
  <c r="B27" i="14" s="1"/>
  <c r="BA19" i="13"/>
  <c r="AQ29" i="13"/>
  <c r="BA43" i="13"/>
  <c r="AE21" i="13"/>
  <c r="S8" i="13"/>
  <c r="S9" i="13" s="1"/>
  <c r="AQ39" i="13"/>
  <c r="AQ40" i="13" s="1"/>
  <c r="K40" i="13"/>
  <c r="W46" i="13"/>
  <c r="K29" i="13"/>
  <c r="U25" i="13"/>
  <c r="BF15" i="13"/>
  <c r="AG14" i="13"/>
  <c r="U14" i="13"/>
  <c r="AK13" i="13"/>
  <c r="AT36" i="13"/>
  <c r="AG29" i="13"/>
  <c r="E25" i="13"/>
  <c r="F14" i="13"/>
  <c r="AY41" i="13"/>
  <c r="C41" i="13"/>
  <c r="N30" i="13"/>
  <c r="P25" i="13"/>
  <c r="Q14" i="13"/>
  <c r="E14" i="13"/>
  <c r="AK25" i="13"/>
  <c r="N29" i="13"/>
  <c r="AI34" i="13" l="1"/>
  <c r="L40" i="13"/>
  <c r="AI30" i="13"/>
  <c r="L48" i="13"/>
  <c r="AU62" i="13"/>
  <c r="K35" i="13"/>
  <c r="K30" i="13"/>
  <c r="AA95" i="13"/>
  <c r="AA64" i="13" s="1"/>
  <c r="AR40" i="13"/>
  <c r="L25" i="13"/>
  <c r="AZ30" i="13"/>
  <c r="K46" i="13"/>
  <c r="AU53" i="13"/>
  <c r="K47" i="13"/>
  <c r="H53" i="13"/>
  <c r="L13" i="13"/>
  <c r="BG36" i="13"/>
  <c r="BL36" i="13" s="1"/>
  <c r="AF53" i="13"/>
  <c r="AZ66" i="13"/>
  <c r="AZ67" i="13" s="1"/>
  <c r="P48" i="13"/>
  <c r="AZ14" i="13"/>
  <c r="X29" i="13"/>
  <c r="AU41" i="13"/>
  <c r="AI24" i="13"/>
  <c r="AZ63" i="13"/>
  <c r="X41" i="13"/>
  <c r="T30" i="13"/>
  <c r="T36" i="13"/>
  <c r="AM53" i="13"/>
  <c r="AZ53" i="13"/>
  <c r="P40" i="13"/>
  <c r="AN48" i="13"/>
  <c r="AN40" i="13"/>
  <c r="AU47" i="13"/>
  <c r="AU30" i="13"/>
  <c r="AZ35" i="13"/>
  <c r="AU34" i="13"/>
  <c r="G34" i="17"/>
  <c r="I12" i="17"/>
  <c r="F12" i="17"/>
  <c r="D33" i="17"/>
  <c r="D30" i="17"/>
  <c r="E29" i="17"/>
  <c r="F29" i="17" s="1"/>
  <c r="H29" i="17"/>
  <c r="I29" i="17" s="1"/>
  <c r="G23" i="13"/>
  <c r="D30" i="13"/>
  <c r="G24" i="13"/>
  <c r="AZ47" i="13"/>
  <c r="O14" i="13"/>
  <c r="H40" i="13"/>
  <c r="BE43" i="13"/>
  <c r="BB43" i="13" s="1"/>
  <c r="BF43" i="13"/>
  <c r="BE42" i="13"/>
  <c r="BF42" i="13"/>
  <c r="AV48" i="13"/>
  <c r="AE35" i="13"/>
  <c r="D13" i="13"/>
  <c r="S35" i="13"/>
  <c r="AM34" i="13"/>
  <c r="S30" i="13"/>
  <c r="H30" i="13"/>
  <c r="H29" i="13"/>
  <c r="AY57" i="13"/>
  <c r="AM30" i="13"/>
  <c r="AB30" i="13"/>
  <c r="AB29" i="13"/>
  <c r="C46" i="13"/>
  <c r="X40" i="13"/>
  <c r="W62" i="13"/>
  <c r="AZ23" i="13"/>
  <c r="AF13" i="13"/>
  <c r="AZ95" i="13"/>
  <c r="AZ25" i="13" s="1"/>
  <c r="AB64" i="13"/>
  <c r="P53" i="13"/>
  <c r="AA98" i="13"/>
  <c r="AJ36" i="13"/>
  <c r="AJ29" i="13"/>
  <c r="AB53" i="13"/>
  <c r="H13" i="13"/>
  <c r="T40" i="13"/>
  <c r="T48" i="13"/>
  <c r="O23" i="13"/>
  <c r="D25" i="13"/>
  <c r="AF48" i="13"/>
  <c r="H14" i="13"/>
  <c r="P64" i="13"/>
  <c r="D29" i="13"/>
  <c r="AA10" i="13"/>
  <c r="T13" i="13"/>
  <c r="AF29" i="13"/>
  <c r="AF30" i="13"/>
  <c r="AJ14" i="13"/>
  <c r="BA29" i="13"/>
  <c r="BF6" i="13"/>
  <c r="AF64" i="13"/>
  <c r="P36" i="13"/>
  <c r="P29" i="13"/>
  <c r="AJ13" i="13"/>
  <c r="AR13" i="13"/>
  <c r="H48" i="13"/>
  <c r="T14" i="13"/>
  <c r="AJ30" i="13"/>
  <c r="P30" i="13"/>
  <c r="W24" i="13"/>
  <c r="AM41" i="13"/>
  <c r="AA23" i="13"/>
  <c r="AY56" i="13"/>
  <c r="S66" i="13"/>
  <c r="S67" i="13" s="1"/>
  <c r="S68" i="13" s="1"/>
  <c r="D40" i="13"/>
  <c r="D48" i="13"/>
  <c r="AN14" i="13"/>
  <c r="P13" i="13"/>
  <c r="P14" i="13"/>
  <c r="AJ41" i="13"/>
  <c r="AN13" i="13"/>
  <c r="AB40" i="13"/>
  <c r="AB48" i="13"/>
  <c r="AB41" i="13"/>
  <c r="AU98" i="13"/>
  <c r="L29" i="13"/>
  <c r="AQ35" i="13"/>
  <c r="S46" i="13"/>
  <c r="AZ46" i="13"/>
  <c r="AR25" i="13"/>
  <c r="AM47" i="13"/>
  <c r="B23" i="14"/>
  <c r="D52" i="13"/>
  <c r="D64" i="13"/>
  <c r="X52" i="13"/>
  <c r="X53" i="13"/>
  <c r="AZ41" i="13"/>
  <c r="AR29" i="13"/>
  <c r="L30" i="13"/>
  <c r="W66" i="13"/>
  <c r="W67" i="13" s="1"/>
  <c r="W14" i="13"/>
  <c r="AU10" i="13"/>
  <c r="AF41" i="13"/>
  <c r="AJ40" i="13"/>
  <c r="AN30" i="13"/>
  <c r="AA14" i="13"/>
  <c r="BF32" i="13"/>
  <c r="BF76" i="13"/>
  <c r="BE80" i="13"/>
  <c r="BB80" i="13" s="1"/>
  <c r="AN36" i="13"/>
  <c r="AF25" i="13"/>
  <c r="G53" i="13"/>
  <c r="G52" i="13"/>
  <c r="O45" i="13"/>
  <c r="O41" i="13" s="1"/>
  <c r="BA44" i="13"/>
  <c r="BA45" i="13" s="1"/>
  <c r="K66" i="13"/>
  <c r="K67" i="13" s="1"/>
  <c r="K68" i="13" s="1"/>
  <c r="K24" i="13"/>
  <c r="K23" i="13"/>
  <c r="AR53" i="13"/>
  <c r="AR64" i="13"/>
  <c r="S41" i="13"/>
  <c r="S40" i="13"/>
  <c r="G47" i="13"/>
  <c r="G46" i="13"/>
  <c r="AA66" i="13"/>
  <c r="AA67" i="13" s="1"/>
  <c r="AI47" i="13"/>
  <c r="AI41" i="13"/>
  <c r="AI46" i="13"/>
  <c r="G41" i="13"/>
  <c r="G40" i="13"/>
  <c r="AA46" i="13"/>
  <c r="AA47" i="13"/>
  <c r="BF7" i="13"/>
  <c r="BA39" i="13"/>
  <c r="BA40" i="13" s="1"/>
  <c r="BE7" i="13"/>
  <c r="AU25" i="13"/>
  <c r="AU48" i="13"/>
  <c r="AU64" i="13"/>
  <c r="AU36" i="13"/>
  <c r="BE59" i="13"/>
  <c r="BB59" i="13" s="1"/>
  <c r="BF59" i="13"/>
  <c r="BE55" i="13"/>
  <c r="BB55" i="13" s="1"/>
  <c r="BF55" i="13"/>
  <c r="BE57" i="13"/>
  <c r="BB57" i="13" s="1"/>
  <c r="BF57" i="13"/>
  <c r="BF58" i="13"/>
  <c r="BE58" i="13"/>
  <c r="BB58" i="13" s="1"/>
  <c r="BE56" i="13"/>
  <c r="BB56" i="13" s="1"/>
  <c r="BF56" i="13"/>
  <c r="AE66" i="13"/>
  <c r="AE24" i="13"/>
  <c r="AE14" i="13"/>
  <c r="AE23" i="13"/>
  <c r="AA35" i="13"/>
  <c r="AA30" i="13"/>
  <c r="AA34" i="13"/>
  <c r="AQ62" i="13"/>
  <c r="AQ51" i="13"/>
  <c r="AQ52" i="13" s="1"/>
  <c r="AQ63" i="13"/>
  <c r="BF78" i="13"/>
  <c r="BE78" i="13"/>
  <c r="BB78" i="13" s="1"/>
  <c r="BE79" i="13"/>
  <c r="BB79" i="13" s="1"/>
  <c r="BF79" i="13"/>
  <c r="AM23" i="13"/>
  <c r="AM24" i="13"/>
  <c r="AM14" i="13"/>
  <c r="AM66" i="13"/>
  <c r="AM67" i="13" s="1"/>
  <c r="AQ23" i="13"/>
  <c r="AQ14" i="13"/>
  <c r="AQ24" i="13"/>
  <c r="AQ66" i="13"/>
  <c r="AI66" i="13"/>
  <c r="AI67" i="13" s="1"/>
  <c r="BE31" i="13"/>
  <c r="BE33" i="13" s="1"/>
  <c r="BF31" i="13"/>
  <c r="BA33" i="13"/>
  <c r="BE85" i="13"/>
  <c r="BB85" i="13" s="1"/>
  <c r="BF85" i="13"/>
  <c r="W10" i="13"/>
  <c r="W95" i="13"/>
  <c r="W98" i="13"/>
  <c r="AR36" i="13"/>
  <c r="W34" i="13"/>
  <c r="BA13" i="13"/>
  <c r="B28" i="14" s="1"/>
  <c r="BE5" i="13"/>
  <c r="BF5" i="13"/>
  <c r="BE16" i="13"/>
  <c r="BA21" i="13"/>
  <c r="BF16" i="13"/>
  <c r="C62" i="13"/>
  <c r="C63" i="13"/>
  <c r="K14" i="13"/>
  <c r="AA63" i="13"/>
  <c r="AA62" i="13"/>
  <c r="W30" i="13"/>
  <c r="C53" i="13"/>
  <c r="AY34" i="13"/>
  <c r="AY30" i="13"/>
  <c r="AY35" i="13"/>
  <c r="AA36" i="13"/>
  <c r="AA25" i="13"/>
  <c r="AA48" i="13"/>
  <c r="AE95" i="13"/>
  <c r="AE10" i="13"/>
  <c r="AE98" i="13"/>
  <c r="AZ36" i="13"/>
  <c r="AI98" i="13"/>
  <c r="AI95" i="13"/>
  <c r="AI10" i="13"/>
  <c r="BE17" i="13"/>
  <c r="BB17" i="13" s="1"/>
  <c r="BF17" i="13"/>
  <c r="BE18" i="13"/>
  <c r="BB18" i="13" s="1"/>
  <c r="BF18" i="13"/>
  <c r="W35" i="13"/>
  <c r="BB6" i="13"/>
  <c r="C34" i="13"/>
  <c r="C30" i="13"/>
  <c r="C35" i="13"/>
  <c r="AM10" i="13"/>
  <c r="AM98" i="13"/>
  <c r="AM95" i="13"/>
  <c r="BE74" i="13"/>
  <c r="BB74" i="13" s="1"/>
  <c r="BF74" i="13"/>
  <c r="AQ10" i="13"/>
  <c r="AQ98" i="13"/>
  <c r="AQ95" i="13"/>
  <c r="BE19" i="13"/>
  <c r="BB19" i="13" s="1"/>
  <c r="BF19" i="13"/>
  <c r="G66" i="13"/>
  <c r="G67" i="13" s="1"/>
  <c r="O10" i="13"/>
  <c r="O95" i="13"/>
  <c r="O98" i="13"/>
  <c r="BF75" i="13"/>
  <c r="BE75" i="13"/>
  <c r="BB75" i="13" s="1"/>
  <c r="BE87" i="13"/>
  <c r="BB87" i="13" s="1"/>
  <c r="BF87" i="13"/>
  <c r="BF82" i="13"/>
  <c r="BE82" i="13"/>
  <c r="BB82" i="13" s="1"/>
  <c r="K10" i="13"/>
  <c r="K95" i="13"/>
  <c r="K98" i="13"/>
  <c r="BE88" i="13"/>
  <c r="BB88" i="13" s="1"/>
  <c r="BF88" i="13"/>
  <c r="AU24" i="13"/>
  <c r="AU14" i="13"/>
  <c r="AU23" i="13"/>
  <c r="AU66" i="13"/>
  <c r="AU67" i="13" s="1"/>
  <c r="S10" i="13"/>
  <c r="S95" i="13"/>
  <c r="S98" i="13"/>
  <c r="BF84" i="13"/>
  <c r="BE84" i="13"/>
  <c r="BB84" i="13" s="1"/>
  <c r="G10" i="13"/>
  <c r="G98" i="13"/>
  <c r="G95" i="13"/>
  <c r="BF77" i="13"/>
  <c r="BE77" i="13"/>
  <c r="BB77" i="13" s="1"/>
  <c r="AQ34" i="13"/>
  <c r="AQ47" i="13"/>
  <c r="AQ9" i="13"/>
  <c r="AI63" i="13"/>
  <c r="AI62" i="13"/>
  <c r="AI53" i="13"/>
  <c r="S23" i="13"/>
  <c r="AE53" i="13"/>
  <c r="AE62" i="13"/>
  <c r="BE54" i="13"/>
  <c r="BF54" i="13"/>
  <c r="BA60" i="13"/>
  <c r="BF86" i="13"/>
  <c r="BE86" i="13"/>
  <c r="BB86" i="13" s="1"/>
  <c r="BE83" i="13"/>
  <c r="BB83" i="13" s="1"/>
  <c r="BF83" i="13"/>
  <c r="AQ41" i="13"/>
  <c r="BE73" i="13"/>
  <c r="BB73" i="13" s="1"/>
  <c r="BF73" i="13"/>
  <c r="BE71" i="13"/>
  <c r="BF71" i="13"/>
  <c r="BA89" i="13"/>
  <c r="S14" i="13"/>
  <c r="C24" i="13"/>
  <c r="C66" i="13"/>
  <c r="C67" i="13" s="1"/>
  <c r="C23" i="13"/>
  <c r="C14" i="13"/>
  <c r="O60" i="13"/>
  <c r="AY94" i="13"/>
  <c r="K62" i="13"/>
  <c r="K63" i="13"/>
  <c r="K53" i="13"/>
  <c r="BE93" i="13"/>
  <c r="BB93" i="13" s="1"/>
  <c r="BF93" i="13"/>
  <c r="BE92" i="13"/>
  <c r="BB92" i="13" s="1"/>
  <c r="BF92" i="13"/>
  <c r="BA8" i="13"/>
  <c r="AY89" i="13"/>
  <c r="G62" i="13"/>
  <c r="BE20" i="13"/>
  <c r="BB20" i="13" s="1"/>
  <c r="BF20" i="13"/>
  <c r="C10" i="13"/>
  <c r="C98" i="13"/>
  <c r="C95" i="13"/>
  <c r="BE81" i="13"/>
  <c r="BB81" i="13" s="1"/>
  <c r="BF81" i="13"/>
  <c r="S63" i="13"/>
  <c r="S51" i="13"/>
  <c r="S52" i="13" s="1"/>
  <c r="S62" i="13"/>
  <c r="AE46" i="13"/>
  <c r="AE47" i="13"/>
  <c r="AE9" i="13"/>
  <c r="AE39" i="13"/>
  <c r="S24" i="13"/>
  <c r="BE91" i="13"/>
  <c r="BF91" i="13"/>
  <c r="BA94" i="13"/>
  <c r="BE72" i="13"/>
  <c r="BB72" i="13" s="1"/>
  <c r="BF72" i="13"/>
  <c r="AA96" i="13" l="1"/>
  <c r="AA97" i="13" s="1"/>
  <c r="AZ64" i="13"/>
  <c r="AZ96" i="13"/>
  <c r="AZ97" i="13" s="1"/>
  <c r="AZ68" i="13"/>
  <c r="AZ99" i="13" s="1"/>
  <c r="AZ48" i="13"/>
  <c r="BF33" i="13"/>
  <c r="BF35" i="13" s="1"/>
  <c r="AY60" i="13"/>
  <c r="AY53" i="13" s="1"/>
  <c r="E30" i="17"/>
  <c r="F30" i="17" s="1"/>
  <c r="H30" i="17"/>
  <c r="D34" i="17"/>
  <c r="E34" i="17" s="1"/>
  <c r="F34" i="17" s="1"/>
  <c r="E33" i="17"/>
  <c r="F33" i="17" s="1"/>
  <c r="H33" i="17"/>
  <c r="I33" i="17" s="1"/>
  <c r="H34" i="17"/>
  <c r="BE34" i="13"/>
  <c r="BE35" i="13"/>
  <c r="BE39" i="13"/>
  <c r="BB39" i="13" s="1"/>
  <c r="BF39" i="13"/>
  <c r="AA68" i="13"/>
  <c r="AA99" i="13" s="1"/>
  <c r="AY66" i="13"/>
  <c r="AY67" i="13" s="1"/>
  <c r="AY68" i="13" s="1"/>
  <c r="AY63" i="13"/>
  <c r="S96" i="13"/>
  <c r="S97" i="13" s="1"/>
  <c r="AY62" i="13"/>
  <c r="AQ67" i="13"/>
  <c r="AQ68" i="13" s="1"/>
  <c r="AQ99" i="13" s="1"/>
  <c r="BF44" i="13"/>
  <c r="BF45" i="13" s="1"/>
  <c r="BF94" i="13"/>
  <c r="BE44" i="13"/>
  <c r="BB44" i="13" s="1"/>
  <c r="AQ53" i="13"/>
  <c r="H11" i="15"/>
  <c r="H10" i="15" s="1"/>
  <c r="C10" i="15" s="1"/>
  <c r="B15" i="14"/>
  <c r="AE41" i="13"/>
  <c r="AE40" i="13"/>
  <c r="S53" i="13"/>
  <c r="BA46" i="13"/>
  <c r="BA47" i="13"/>
  <c r="BF21" i="13"/>
  <c r="BF24" i="13" s="1"/>
  <c r="BA24" i="13"/>
  <c r="BA14" i="13"/>
  <c r="BA41" i="13"/>
  <c r="O47" i="13"/>
  <c r="O46" i="13"/>
  <c r="AU96" i="13"/>
  <c r="AU97" i="13" s="1"/>
  <c r="AU68" i="13"/>
  <c r="AU99" i="13" s="1"/>
  <c r="G96" i="13"/>
  <c r="G97" i="13" s="1"/>
  <c r="G68" i="13"/>
  <c r="G99" i="13" s="1"/>
  <c r="AI68" i="13"/>
  <c r="AI99" i="13" s="1"/>
  <c r="AI96" i="13"/>
  <c r="AI97" i="13" s="1"/>
  <c r="BB71" i="13"/>
  <c r="BB89" i="13" s="1"/>
  <c r="BE89" i="13"/>
  <c r="AI25" i="13"/>
  <c r="AI48" i="13"/>
  <c r="AI64" i="13"/>
  <c r="AI36" i="13"/>
  <c r="AQ36" i="13"/>
  <c r="AQ25" i="13"/>
  <c r="AQ48" i="13"/>
  <c r="AQ64" i="13"/>
  <c r="BB29" i="13"/>
  <c r="BB5" i="13"/>
  <c r="BB31" i="13"/>
  <c r="BB33" i="13" s="1"/>
  <c r="BB30" i="13" s="1"/>
  <c r="BA34" i="13"/>
  <c r="BA30" i="13"/>
  <c r="BA35" i="13"/>
  <c r="K25" i="13"/>
  <c r="K48" i="13"/>
  <c r="K64" i="13"/>
  <c r="K36" i="13"/>
  <c r="K99" i="13"/>
  <c r="O53" i="13"/>
  <c r="O66" i="13"/>
  <c r="O67" i="13" s="1"/>
  <c r="O63" i="13"/>
  <c r="O62" i="13"/>
  <c r="AY10" i="13"/>
  <c r="AY98" i="13"/>
  <c r="AY95" i="13"/>
  <c r="BB42" i="13"/>
  <c r="W68" i="13"/>
  <c r="W99" i="13" s="1"/>
  <c r="W96" i="13"/>
  <c r="W97" i="13" s="1"/>
  <c r="BA62" i="13"/>
  <c r="BA63" i="13"/>
  <c r="BA53" i="13"/>
  <c r="BE8" i="13"/>
  <c r="BE9" i="13" s="1"/>
  <c r="BF8" i="13"/>
  <c r="BA52" i="13"/>
  <c r="S36" i="13"/>
  <c r="S25" i="13"/>
  <c r="S48" i="13"/>
  <c r="S64" i="13"/>
  <c r="S99" i="13"/>
  <c r="BE21" i="13"/>
  <c r="BB16" i="13"/>
  <c r="BB21" i="13" s="1"/>
  <c r="BA9" i="13"/>
  <c r="AM96" i="13"/>
  <c r="AM97" i="13" s="1"/>
  <c r="AM68" i="13"/>
  <c r="AM99" i="13" s="1"/>
  <c r="C64" i="13"/>
  <c r="C36" i="13"/>
  <c r="C25" i="13"/>
  <c r="C48" i="13"/>
  <c r="BA10" i="13"/>
  <c r="BA95" i="13"/>
  <c r="BA98" i="13"/>
  <c r="BF60" i="13"/>
  <c r="C96" i="13"/>
  <c r="C97" i="13" s="1"/>
  <c r="C68" i="13"/>
  <c r="C99" i="13" s="1"/>
  <c r="O64" i="13"/>
  <c r="O36" i="13"/>
  <c r="O25" i="13"/>
  <c r="O48" i="13"/>
  <c r="BB91" i="13"/>
  <c r="BB94" i="13" s="1"/>
  <c r="BE94" i="13"/>
  <c r="AM64" i="13"/>
  <c r="AM36" i="13"/>
  <c r="AM48" i="13"/>
  <c r="AM25" i="13"/>
  <c r="BA66" i="13"/>
  <c r="BB7" i="13"/>
  <c r="W25" i="13"/>
  <c r="W48" i="13"/>
  <c r="W64" i="13"/>
  <c r="W36" i="13"/>
  <c r="AE67" i="13"/>
  <c r="BF89" i="13"/>
  <c r="BB54" i="13"/>
  <c r="BB60" i="13" s="1"/>
  <c r="BE60" i="13"/>
  <c r="G36" i="13"/>
  <c r="G25" i="13"/>
  <c r="G48" i="13"/>
  <c r="G64" i="13"/>
  <c r="AE36" i="13"/>
  <c r="AE25" i="13"/>
  <c r="AE48" i="13"/>
  <c r="AE64" i="13"/>
  <c r="BA23" i="13"/>
  <c r="K96" i="13"/>
  <c r="K97" i="13" s="1"/>
  <c r="BF34" i="13" l="1"/>
  <c r="B4" i="14"/>
  <c r="AQ96" i="13"/>
  <c r="AQ97" i="13" s="1"/>
  <c r="BE45" i="13"/>
  <c r="BE46" i="13" s="1"/>
  <c r="BB45" i="13"/>
  <c r="BB41" i="13" s="1"/>
  <c r="AY96" i="13"/>
  <c r="AY97" i="13" s="1"/>
  <c r="BF47" i="13"/>
  <c r="BF46" i="13"/>
  <c r="BF23" i="13"/>
  <c r="BF14" i="13"/>
  <c r="BF95" i="13"/>
  <c r="BF36" i="13" s="1"/>
  <c r="C11" i="15"/>
  <c r="C16" i="15" s="1"/>
  <c r="C17" i="15" s="1"/>
  <c r="C12" i="15"/>
  <c r="BB95" i="13"/>
  <c r="BF66" i="13"/>
  <c r="BB8" i="13"/>
  <c r="BB9" i="13" s="1"/>
  <c r="BE63" i="13"/>
  <c r="BE62" i="13"/>
  <c r="O68" i="13"/>
  <c r="O99" i="13" s="1"/>
  <c r="O96" i="13"/>
  <c r="O97" i="13" s="1"/>
  <c r="BA64" i="13"/>
  <c r="BA25" i="13"/>
  <c r="BA48" i="13"/>
  <c r="BA36" i="13"/>
  <c r="BE23" i="13"/>
  <c r="BE95" i="13"/>
  <c r="BF63" i="13"/>
  <c r="BF62" i="13"/>
  <c r="BE14" i="13"/>
  <c r="BB24" i="13"/>
  <c r="B24" i="14" s="1"/>
  <c r="B25" i="14" s="1"/>
  <c r="B29" i="14" s="1"/>
  <c r="BB13" i="13"/>
  <c r="BB14" i="13"/>
  <c r="BB23" i="13"/>
  <c r="BE24" i="13"/>
  <c r="BB34" i="13"/>
  <c r="BB40" i="13"/>
  <c r="AE68" i="13"/>
  <c r="AE99" i="13" s="1"/>
  <c r="AE96" i="13"/>
  <c r="AE97" i="13" s="1"/>
  <c r="BA67" i="13"/>
  <c r="AY64" i="13"/>
  <c r="AY36" i="13"/>
  <c r="AY25" i="13"/>
  <c r="AY99" i="13"/>
  <c r="AY48" i="13"/>
  <c r="BB35" i="13"/>
  <c r="BF9" i="13"/>
  <c r="BB47" i="13" l="1"/>
  <c r="BE47" i="13"/>
  <c r="BE66" i="13"/>
  <c r="BE67" i="13" s="1"/>
  <c r="BE96" i="13" s="1"/>
  <c r="BE97" i="13" s="1"/>
  <c r="BB66" i="13"/>
  <c r="BB67" i="13" s="1"/>
  <c r="BB48" i="13"/>
  <c r="BB46" i="13"/>
  <c r="BF64" i="13"/>
  <c r="BF25" i="13"/>
  <c r="BF48" i="13"/>
  <c r="BB36" i="13"/>
  <c r="BB25" i="13"/>
  <c r="BF67" i="13"/>
  <c r="BF68" i="13" s="1"/>
  <c r="BF99" i="13" s="1"/>
  <c r="BB64" i="13"/>
  <c r="BG7" i="13"/>
  <c r="BG5" i="13"/>
  <c r="BA68" i="13"/>
  <c r="B5" i="14" s="1"/>
  <c r="BA96" i="13"/>
  <c r="BA97" i="13" s="1"/>
  <c r="BE36" i="13"/>
  <c r="BE25" i="13"/>
  <c r="BE48" i="13"/>
  <c r="BE64" i="13"/>
  <c r="BG8" i="13"/>
  <c r="BB52" i="13"/>
  <c r="BB63" i="13"/>
  <c r="BB53" i="13"/>
  <c r="BB62" i="13"/>
  <c r="BG6" i="13"/>
  <c r="BE68" i="13" l="1"/>
  <c r="BE99" i="13" s="1"/>
  <c r="BF96" i="13"/>
  <c r="BF97" i="13" s="1"/>
  <c r="BG9" i="13"/>
  <c r="BB68" i="13"/>
  <c r="B16" i="14" s="1"/>
  <c r="BB96" i="13"/>
  <c r="BB97" i="13" s="1"/>
  <c r="BA99" i="13"/>
  <c r="BB99" i="13" l="1"/>
  <c r="BA48" i="9" l="1"/>
  <c r="BA49" i="9"/>
  <c r="BA50" i="9"/>
  <c r="BA44" i="9"/>
  <c r="BA45" i="9"/>
  <c r="BA46" i="9"/>
  <c r="BA26" i="9"/>
  <c r="BA27" i="9"/>
  <c r="BA25" i="9"/>
  <c r="BA73" i="9"/>
  <c r="BA53" i="9"/>
  <c r="BA54" i="9"/>
  <c r="BA55" i="9"/>
  <c r="BA56" i="9"/>
  <c r="BA57" i="9"/>
  <c r="BA58" i="9"/>
  <c r="BA59" i="9"/>
  <c r="BA60" i="9"/>
  <c r="BA61" i="9"/>
  <c r="BA62" i="9"/>
  <c r="BA63" i="9"/>
  <c r="BA64" i="9"/>
  <c r="BA65" i="9"/>
  <c r="BA66" i="9"/>
  <c r="BA67" i="9"/>
  <c r="BA68" i="9"/>
  <c r="BA69" i="9"/>
  <c r="BA70" i="9"/>
  <c r="BA38" i="9"/>
  <c r="BA39" i="9"/>
  <c r="BA40" i="9"/>
  <c r="BA41" i="9"/>
  <c r="BA42" i="9"/>
  <c r="BA43" i="9"/>
  <c r="BA31" i="9"/>
  <c r="BA32" i="9"/>
  <c r="BA24" i="9"/>
  <c r="BA14" i="9"/>
  <c r="BA15" i="9"/>
  <c r="BA16" i="9"/>
  <c r="BA17" i="9"/>
  <c r="BA13" i="9"/>
  <c r="BA6" i="9"/>
  <c r="BA7" i="9"/>
  <c r="BA8" i="9"/>
  <c r="BA5" i="9"/>
  <c r="BA18" i="9"/>
  <c r="BA19" i="9"/>
  <c r="BA20" i="9"/>
  <c r="BA9" i="9"/>
  <c r="BA76" i="9"/>
  <c r="BA74" i="9"/>
  <c r="BA75" i="9"/>
  <c r="BA30" i="9"/>
  <c r="BA23" i="9"/>
  <c r="BA33" i="9"/>
  <c r="P76" i="11"/>
  <c r="N75" i="11"/>
  <c r="M75" i="11"/>
  <c r="L75" i="11"/>
  <c r="K75" i="11"/>
  <c r="J75" i="11"/>
  <c r="I75" i="11"/>
  <c r="H75" i="11"/>
  <c r="G75" i="11"/>
  <c r="F75" i="11"/>
  <c r="E75" i="11"/>
  <c r="D75" i="11"/>
  <c r="C75" i="11"/>
  <c r="O75" i="11" s="1"/>
  <c r="N74" i="11"/>
  <c r="M74" i="11"/>
  <c r="L74" i="11"/>
  <c r="K74" i="11"/>
  <c r="J74" i="11"/>
  <c r="I74" i="11"/>
  <c r="H74" i="11"/>
  <c r="G74" i="11"/>
  <c r="F74" i="11"/>
  <c r="E74" i="11"/>
  <c r="D74" i="11"/>
  <c r="C74" i="11"/>
  <c r="O74" i="11" s="1"/>
  <c r="N73" i="11"/>
  <c r="N76" i="11" s="1"/>
  <c r="M73" i="11"/>
  <c r="M76" i="11" s="1"/>
  <c r="L73" i="11"/>
  <c r="L76" i="11" s="1"/>
  <c r="K73" i="11"/>
  <c r="K76" i="11" s="1"/>
  <c r="J73" i="11"/>
  <c r="J76" i="11" s="1"/>
  <c r="I73" i="11"/>
  <c r="I76" i="11" s="1"/>
  <c r="H73" i="11"/>
  <c r="H76" i="11" s="1"/>
  <c r="G73" i="11"/>
  <c r="G76" i="11" s="1"/>
  <c r="F73" i="11"/>
  <c r="F76" i="11" s="1"/>
  <c r="E73" i="11"/>
  <c r="E76" i="11" s="1"/>
  <c r="D73" i="11"/>
  <c r="D76" i="11" s="1"/>
  <c r="C73" i="11"/>
  <c r="P70" i="11"/>
  <c r="O70" i="11"/>
  <c r="P69" i="11"/>
  <c r="O69" i="11"/>
  <c r="P68" i="11"/>
  <c r="O68" i="11"/>
  <c r="P67" i="11"/>
  <c r="O67" i="11"/>
  <c r="P66" i="11"/>
  <c r="O66" i="11"/>
  <c r="P65" i="11"/>
  <c r="O65" i="11"/>
  <c r="N64" i="11"/>
  <c r="M64" i="11"/>
  <c r="L64" i="11"/>
  <c r="K64" i="11"/>
  <c r="J64" i="11"/>
  <c r="I64" i="11"/>
  <c r="H64" i="11"/>
  <c r="G64" i="11"/>
  <c r="F64" i="11"/>
  <c r="E64" i="11"/>
  <c r="D64" i="11"/>
  <c r="C64" i="11"/>
  <c r="O64" i="11" s="1"/>
  <c r="P62" i="11"/>
  <c r="O62" i="11"/>
  <c r="O63" i="11" s="1"/>
  <c r="P61" i="11"/>
  <c r="O61" i="11"/>
  <c r="P60" i="11"/>
  <c r="O60" i="11"/>
  <c r="P59" i="11"/>
  <c r="O59" i="11"/>
  <c r="P58" i="11"/>
  <c r="O58" i="11"/>
  <c r="P57" i="11"/>
  <c r="O57" i="11"/>
  <c r="P56" i="11"/>
  <c r="O56" i="11"/>
  <c r="P55" i="11"/>
  <c r="O55" i="11"/>
  <c r="P54" i="11"/>
  <c r="O54" i="11"/>
  <c r="P53" i="11"/>
  <c r="O53" i="11"/>
  <c r="O71" i="11" s="1"/>
  <c r="Q50" i="11"/>
  <c r="N43" i="11"/>
  <c r="M43" i="11"/>
  <c r="L43" i="11"/>
  <c r="K43" i="11"/>
  <c r="J43" i="11"/>
  <c r="I43" i="11"/>
  <c r="H43" i="11"/>
  <c r="G43" i="11"/>
  <c r="F43" i="11"/>
  <c r="E43" i="11"/>
  <c r="D43" i="11"/>
  <c r="C43" i="11"/>
  <c r="P43" i="11" s="1"/>
  <c r="N42" i="11"/>
  <c r="M42" i="11"/>
  <c r="L42" i="11"/>
  <c r="K42" i="11"/>
  <c r="J42" i="11"/>
  <c r="I42" i="11"/>
  <c r="H42" i="11"/>
  <c r="G42" i="11"/>
  <c r="F42" i="11"/>
  <c r="E42" i="11"/>
  <c r="D42" i="11"/>
  <c r="C42" i="11"/>
  <c r="P42" i="11" s="1"/>
  <c r="N41" i="11"/>
  <c r="M41" i="11"/>
  <c r="L41" i="11"/>
  <c r="K41" i="11"/>
  <c r="J41" i="11"/>
  <c r="I41" i="11"/>
  <c r="H41" i="11"/>
  <c r="G41" i="11"/>
  <c r="F41" i="11"/>
  <c r="E41" i="11"/>
  <c r="D41" i="11"/>
  <c r="C41" i="11"/>
  <c r="N40" i="11"/>
  <c r="M40" i="11"/>
  <c r="L40" i="11"/>
  <c r="K40" i="11"/>
  <c r="J40" i="11"/>
  <c r="I40" i="11"/>
  <c r="H40" i="11"/>
  <c r="G40" i="11"/>
  <c r="F40" i="11"/>
  <c r="E40" i="11"/>
  <c r="D40" i="11"/>
  <c r="C40" i="11"/>
  <c r="N39" i="11"/>
  <c r="M39" i="11"/>
  <c r="L39" i="11"/>
  <c r="K39" i="11"/>
  <c r="J39" i="11"/>
  <c r="I39" i="11"/>
  <c r="H39" i="11"/>
  <c r="G39" i="11"/>
  <c r="F39" i="11"/>
  <c r="E39" i="11"/>
  <c r="D39" i="11"/>
  <c r="C39" i="11"/>
  <c r="P38" i="11"/>
  <c r="O35" i="11"/>
  <c r="O34" i="11"/>
  <c r="N32" i="11"/>
  <c r="M32" i="11"/>
  <c r="L32" i="11"/>
  <c r="K32" i="11"/>
  <c r="J32" i="11"/>
  <c r="I32" i="11"/>
  <c r="H32" i="11"/>
  <c r="G32" i="11"/>
  <c r="F32" i="11"/>
  <c r="E32" i="11"/>
  <c r="D32" i="11"/>
  <c r="C32" i="11"/>
  <c r="P32" i="11" s="1"/>
  <c r="P31" i="11"/>
  <c r="O31" i="11"/>
  <c r="N30" i="11"/>
  <c r="N33" i="11" s="1"/>
  <c r="M30" i="11"/>
  <c r="M33" i="11" s="1"/>
  <c r="L30" i="11"/>
  <c r="L33" i="11" s="1"/>
  <c r="K30" i="11"/>
  <c r="K33" i="11" s="1"/>
  <c r="J30" i="11"/>
  <c r="J33" i="11" s="1"/>
  <c r="I30" i="11"/>
  <c r="I33" i="11" s="1"/>
  <c r="H30" i="11"/>
  <c r="H33" i="11" s="1"/>
  <c r="G30" i="11"/>
  <c r="G33" i="11" s="1"/>
  <c r="F30" i="11"/>
  <c r="F33" i="11" s="1"/>
  <c r="E30" i="11"/>
  <c r="E33" i="11" s="1"/>
  <c r="D30" i="11"/>
  <c r="D33" i="11" s="1"/>
  <c r="C30" i="11"/>
  <c r="Q25" i="11"/>
  <c r="N25" i="11"/>
  <c r="M25" i="11"/>
  <c r="L25" i="11"/>
  <c r="K25" i="11"/>
  <c r="J25" i="11"/>
  <c r="I25" i="11"/>
  <c r="H25" i="11"/>
  <c r="G25" i="11"/>
  <c r="F25" i="11"/>
  <c r="E25" i="11"/>
  <c r="D25" i="11"/>
  <c r="C25" i="11"/>
  <c r="P24" i="11"/>
  <c r="P23" i="11"/>
  <c r="P25" i="11" s="1"/>
  <c r="O23" i="11"/>
  <c r="O25" i="11" s="1"/>
  <c r="O18" i="11"/>
  <c r="N17" i="11"/>
  <c r="M17" i="11"/>
  <c r="L17" i="11"/>
  <c r="K17" i="11"/>
  <c r="J17" i="11"/>
  <c r="I17" i="11"/>
  <c r="H17" i="11"/>
  <c r="G17" i="11"/>
  <c r="F17" i="11"/>
  <c r="E17" i="11"/>
  <c r="D17" i="11"/>
  <c r="C17" i="11"/>
  <c r="P17" i="11" s="1"/>
  <c r="P16" i="11"/>
  <c r="N15" i="11"/>
  <c r="M15" i="11"/>
  <c r="L15" i="11"/>
  <c r="K15" i="11"/>
  <c r="J15" i="11"/>
  <c r="I15" i="11"/>
  <c r="H15" i="11"/>
  <c r="G15" i="11"/>
  <c r="F15" i="11"/>
  <c r="E15" i="11"/>
  <c r="D15" i="11"/>
  <c r="C15" i="11"/>
  <c r="P15" i="11" s="1"/>
  <c r="N14" i="11"/>
  <c r="M14" i="11"/>
  <c r="L14" i="11"/>
  <c r="K14" i="11"/>
  <c r="J14" i="11"/>
  <c r="I14" i="11"/>
  <c r="H14" i="11"/>
  <c r="G14" i="11"/>
  <c r="F14" i="11"/>
  <c r="E14" i="11"/>
  <c r="D14" i="11"/>
  <c r="C14" i="11"/>
  <c r="P14" i="11" s="1"/>
  <c r="N13" i="11"/>
  <c r="N18" i="11" s="1"/>
  <c r="M13" i="11"/>
  <c r="M18" i="11" s="1"/>
  <c r="L13" i="11"/>
  <c r="L18" i="11" s="1"/>
  <c r="K13" i="11"/>
  <c r="K18" i="11" s="1"/>
  <c r="J13" i="11"/>
  <c r="J18" i="11" s="1"/>
  <c r="I13" i="11"/>
  <c r="I18" i="11" s="1"/>
  <c r="H13" i="11"/>
  <c r="H18" i="11" s="1"/>
  <c r="G13" i="11"/>
  <c r="G18" i="11" s="1"/>
  <c r="F13" i="11"/>
  <c r="F18" i="11" s="1"/>
  <c r="E13" i="11"/>
  <c r="E18" i="11" s="1"/>
  <c r="D13" i="11"/>
  <c r="D18" i="11" s="1"/>
  <c r="C13" i="11"/>
  <c r="R9" i="11"/>
  <c r="O9" i="11"/>
  <c r="N9" i="11"/>
  <c r="M9" i="11"/>
  <c r="L9" i="11"/>
  <c r="K9" i="11"/>
  <c r="J9" i="11"/>
  <c r="I9" i="11"/>
  <c r="H9" i="11"/>
  <c r="G9" i="11"/>
  <c r="F9" i="11"/>
  <c r="E9" i="11"/>
  <c r="D9" i="11"/>
  <c r="C9" i="11"/>
  <c r="P8" i="11"/>
  <c r="P7" i="11"/>
  <c r="P6" i="11"/>
  <c r="P5" i="11"/>
  <c r="O4" i="11"/>
  <c r="H23" i="9"/>
  <c r="G23" i="9"/>
  <c r="AV75" i="9"/>
  <c r="AU75" i="9" s="1"/>
  <c r="AV74" i="9"/>
  <c r="AU74" i="9" s="1"/>
  <c r="AV73" i="9"/>
  <c r="AU73" i="9" s="1"/>
  <c r="AV8" i="9"/>
  <c r="AU8" i="9" s="1"/>
  <c r="AV7" i="9"/>
  <c r="AU7" i="9" s="1"/>
  <c r="AV6" i="9"/>
  <c r="AU6" i="9" s="1"/>
  <c r="AV70" i="9"/>
  <c r="AU70" i="9" s="1"/>
  <c r="AV69" i="9"/>
  <c r="AU69" i="9" s="1"/>
  <c r="AV68" i="9"/>
  <c r="AU68" i="9" s="1"/>
  <c r="AV67" i="9"/>
  <c r="AU67" i="9" s="1"/>
  <c r="AV66" i="9"/>
  <c r="AU66" i="9" s="1"/>
  <c r="AV65" i="9"/>
  <c r="AU65" i="9" s="1"/>
  <c r="AV64" i="9"/>
  <c r="AU64" i="9" s="1"/>
  <c r="AV63" i="9"/>
  <c r="AU63" i="9" s="1"/>
  <c r="AV62" i="9"/>
  <c r="AU62" i="9" s="1"/>
  <c r="AV61" i="9"/>
  <c r="AU61" i="9" s="1"/>
  <c r="AV60" i="9"/>
  <c r="AU60" i="9" s="1"/>
  <c r="AV59" i="9"/>
  <c r="AU59" i="9" s="1"/>
  <c r="AV58" i="9"/>
  <c r="AU58" i="9" s="1"/>
  <c r="AV57" i="9"/>
  <c r="AU57" i="9" s="1"/>
  <c r="AV56" i="9"/>
  <c r="AU56" i="9" s="1"/>
  <c r="AV55" i="9"/>
  <c r="AU55" i="9" s="1"/>
  <c r="AV54" i="9"/>
  <c r="AU54" i="9" s="1"/>
  <c r="AV53" i="9"/>
  <c r="AU53" i="9" s="1"/>
  <c r="AV43" i="9"/>
  <c r="AU43" i="9" s="1"/>
  <c r="AV42" i="9"/>
  <c r="AU42" i="9" s="1"/>
  <c r="AV41" i="9"/>
  <c r="AU41" i="9" s="1"/>
  <c r="AV40" i="9"/>
  <c r="AU40" i="9" s="1"/>
  <c r="AV39" i="9"/>
  <c r="AU39" i="9" s="1"/>
  <c r="AV38" i="9"/>
  <c r="AU38" i="9" s="1"/>
  <c r="AV32" i="9"/>
  <c r="AU32" i="9" s="1"/>
  <c r="AV31" i="9"/>
  <c r="AU31" i="9" s="1"/>
  <c r="AV30" i="9"/>
  <c r="AU30" i="9" s="1"/>
  <c r="AV24" i="9"/>
  <c r="AU24" i="9" s="1"/>
  <c r="AV23" i="9"/>
  <c r="AU23" i="9" s="1"/>
  <c r="AV17" i="9"/>
  <c r="AU17" i="9" s="1"/>
  <c r="AV16" i="9"/>
  <c r="AU16" i="9" s="1"/>
  <c r="AV15" i="9"/>
  <c r="AU15" i="9" s="1"/>
  <c r="AV14" i="9"/>
  <c r="AU14" i="9" s="1"/>
  <c r="AV13" i="9"/>
  <c r="AU13" i="9" s="1"/>
  <c r="AR75" i="9"/>
  <c r="AQ75" i="9" s="1"/>
  <c r="AR74" i="9"/>
  <c r="AQ74" i="9" s="1"/>
  <c r="AR73" i="9"/>
  <c r="AQ73" i="9" s="1"/>
  <c r="AR8" i="9"/>
  <c r="AQ8" i="9" s="1"/>
  <c r="AR7" i="9"/>
  <c r="AQ7" i="9" s="1"/>
  <c r="AR6" i="9"/>
  <c r="AQ6" i="9" s="1"/>
  <c r="AR70" i="9"/>
  <c r="AQ70" i="9" s="1"/>
  <c r="AR69" i="9"/>
  <c r="AQ69" i="9" s="1"/>
  <c r="AR68" i="9"/>
  <c r="AQ68" i="9" s="1"/>
  <c r="AR67" i="9"/>
  <c r="AQ67" i="9" s="1"/>
  <c r="AR66" i="9"/>
  <c r="AQ66" i="9" s="1"/>
  <c r="AR65" i="9"/>
  <c r="AQ65" i="9" s="1"/>
  <c r="AR64" i="9"/>
  <c r="AQ64" i="9" s="1"/>
  <c r="AR63" i="9"/>
  <c r="AQ63" i="9" s="1"/>
  <c r="AR62" i="9"/>
  <c r="AQ62" i="9" s="1"/>
  <c r="AR61" i="9"/>
  <c r="AQ61" i="9" s="1"/>
  <c r="AR60" i="9"/>
  <c r="AQ60" i="9" s="1"/>
  <c r="AR59" i="9"/>
  <c r="AQ59" i="9" s="1"/>
  <c r="AR58" i="9"/>
  <c r="AQ58" i="9" s="1"/>
  <c r="AR57" i="9"/>
  <c r="AQ57" i="9" s="1"/>
  <c r="AR56" i="9"/>
  <c r="AQ56" i="9" s="1"/>
  <c r="AR55" i="9"/>
  <c r="AQ55" i="9" s="1"/>
  <c r="AR54" i="9"/>
  <c r="AQ54" i="9" s="1"/>
  <c r="AR53" i="9"/>
  <c r="AQ53" i="9" s="1"/>
  <c r="AR43" i="9"/>
  <c r="AQ43" i="9" s="1"/>
  <c r="AR42" i="9"/>
  <c r="AQ42" i="9" s="1"/>
  <c r="AR41" i="9"/>
  <c r="AQ41" i="9" s="1"/>
  <c r="AR40" i="9"/>
  <c r="AQ40" i="9" s="1"/>
  <c r="AR39" i="9"/>
  <c r="AQ39" i="9" s="1"/>
  <c r="AR38" i="9"/>
  <c r="AQ38" i="9" s="1"/>
  <c r="AR32" i="9"/>
  <c r="AQ32" i="9" s="1"/>
  <c r="AR31" i="9"/>
  <c r="AQ31" i="9" s="1"/>
  <c r="AR30" i="9"/>
  <c r="AQ30" i="9" s="1"/>
  <c r="AR24" i="9"/>
  <c r="AQ24" i="9" s="1"/>
  <c r="AR23" i="9"/>
  <c r="AQ23" i="9" s="1"/>
  <c r="AR17" i="9"/>
  <c r="AQ17" i="9" s="1"/>
  <c r="AR16" i="9"/>
  <c r="AQ16" i="9" s="1"/>
  <c r="AR15" i="9"/>
  <c r="AQ15" i="9" s="1"/>
  <c r="AR14" i="9"/>
  <c r="AQ14" i="9" s="1"/>
  <c r="AR13" i="9"/>
  <c r="AQ13" i="9" s="1"/>
  <c r="AN75" i="9"/>
  <c r="AM75" i="9" s="1"/>
  <c r="AN74" i="9"/>
  <c r="AM74" i="9" s="1"/>
  <c r="AN73" i="9"/>
  <c r="AM73" i="9" s="1"/>
  <c r="AN8" i="9"/>
  <c r="AM8" i="9" s="1"/>
  <c r="AN7" i="9"/>
  <c r="AM7" i="9" s="1"/>
  <c r="AN6" i="9"/>
  <c r="AM6" i="9" s="1"/>
  <c r="AN70" i="9"/>
  <c r="AM70" i="9" s="1"/>
  <c r="AN69" i="9"/>
  <c r="AM69" i="9" s="1"/>
  <c r="AN68" i="9"/>
  <c r="AM68" i="9" s="1"/>
  <c r="AN67" i="9"/>
  <c r="AM67" i="9" s="1"/>
  <c r="AN66" i="9"/>
  <c r="AM66" i="9" s="1"/>
  <c r="AN65" i="9"/>
  <c r="AM65" i="9" s="1"/>
  <c r="AN64" i="9"/>
  <c r="AM64" i="9" s="1"/>
  <c r="AN63" i="9"/>
  <c r="AM63" i="9" s="1"/>
  <c r="AN62" i="9"/>
  <c r="AM62" i="9" s="1"/>
  <c r="AN61" i="9"/>
  <c r="AM61" i="9" s="1"/>
  <c r="AN60" i="9"/>
  <c r="AM60" i="9" s="1"/>
  <c r="AN59" i="9"/>
  <c r="AM59" i="9" s="1"/>
  <c r="AN58" i="9"/>
  <c r="AM58" i="9" s="1"/>
  <c r="AN57" i="9"/>
  <c r="AM57" i="9" s="1"/>
  <c r="AN56" i="9"/>
  <c r="AM56" i="9" s="1"/>
  <c r="AN55" i="9"/>
  <c r="AM55" i="9" s="1"/>
  <c r="AN54" i="9"/>
  <c r="AM54" i="9" s="1"/>
  <c r="AN53" i="9"/>
  <c r="AM53" i="9" s="1"/>
  <c r="AN43" i="9"/>
  <c r="AM43" i="9" s="1"/>
  <c r="AN42" i="9"/>
  <c r="AM42" i="9" s="1"/>
  <c r="AN41" i="9"/>
  <c r="AM41" i="9" s="1"/>
  <c r="AN40" i="9"/>
  <c r="AM40" i="9" s="1"/>
  <c r="AN39" i="9"/>
  <c r="AM39" i="9" s="1"/>
  <c r="AN38" i="9"/>
  <c r="AM38" i="9" s="1"/>
  <c r="AN32" i="9"/>
  <c r="AM32" i="9" s="1"/>
  <c r="AN31" i="9"/>
  <c r="AM31" i="9" s="1"/>
  <c r="AN30" i="9"/>
  <c r="AM30" i="9" s="1"/>
  <c r="AN24" i="9"/>
  <c r="AM24" i="9" s="1"/>
  <c r="AN23" i="9"/>
  <c r="AM23" i="9" s="1"/>
  <c r="AN17" i="9"/>
  <c r="AM17" i="9" s="1"/>
  <c r="AN16" i="9"/>
  <c r="AM16" i="9" s="1"/>
  <c r="AN15" i="9"/>
  <c r="AM15" i="9" s="1"/>
  <c r="AN14" i="9"/>
  <c r="AM14" i="9" s="1"/>
  <c r="AN13" i="9"/>
  <c r="AM13" i="9" s="1"/>
  <c r="AJ75" i="9"/>
  <c r="AI75" i="9" s="1"/>
  <c r="AJ74" i="9"/>
  <c r="AI74" i="9" s="1"/>
  <c r="AJ73" i="9"/>
  <c r="AI73" i="9" s="1"/>
  <c r="AJ8" i="9"/>
  <c r="AI8" i="9" s="1"/>
  <c r="AJ7" i="9"/>
  <c r="AI7" i="9" s="1"/>
  <c r="AJ6" i="9"/>
  <c r="AI6" i="9" s="1"/>
  <c r="AJ70" i="9"/>
  <c r="AI70" i="9" s="1"/>
  <c r="AJ69" i="9"/>
  <c r="AI69" i="9" s="1"/>
  <c r="AJ68" i="9"/>
  <c r="AI68" i="9" s="1"/>
  <c r="AJ67" i="9"/>
  <c r="AI67" i="9" s="1"/>
  <c r="AJ66" i="9"/>
  <c r="AI66" i="9" s="1"/>
  <c r="AJ65" i="9"/>
  <c r="AI65" i="9" s="1"/>
  <c r="AJ64" i="9"/>
  <c r="AI64" i="9" s="1"/>
  <c r="AJ63" i="9"/>
  <c r="AI63" i="9" s="1"/>
  <c r="AJ62" i="9"/>
  <c r="AI62" i="9" s="1"/>
  <c r="AJ61" i="9"/>
  <c r="AI61" i="9" s="1"/>
  <c r="AJ60" i="9"/>
  <c r="AI60" i="9" s="1"/>
  <c r="AJ59" i="9"/>
  <c r="AI59" i="9" s="1"/>
  <c r="AJ58" i="9"/>
  <c r="AI58" i="9" s="1"/>
  <c r="AJ57" i="9"/>
  <c r="AI57" i="9" s="1"/>
  <c r="AJ56" i="9"/>
  <c r="AI56" i="9" s="1"/>
  <c r="AJ55" i="9"/>
  <c r="AI55" i="9" s="1"/>
  <c r="AJ54" i="9"/>
  <c r="AI54" i="9" s="1"/>
  <c r="AJ53" i="9"/>
  <c r="AI53" i="9" s="1"/>
  <c r="AJ43" i="9"/>
  <c r="AI43" i="9" s="1"/>
  <c r="AJ42" i="9"/>
  <c r="AI42" i="9" s="1"/>
  <c r="AJ41" i="9"/>
  <c r="AI41" i="9" s="1"/>
  <c r="AJ40" i="9"/>
  <c r="AI40" i="9" s="1"/>
  <c r="AJ39" i="9"/>
  <c r="AI39" i="9" s="1"/>
  <c r="AJ38" i="9"/>
  <c r="AI38" i="9" s="1"/>
  <c r="AJ32" i="9"/>
  <c r="AI32" i="9" s="1"/>
  <c r="AJ31" i="9"/>
  <c r="AI31" i="9" s="1"/>
  <c r="AJ30" i="9"/>
  <c r="AI30" i="9" s="1"/>
  <c r="AJ24" i="9"/>
  <c r="AI24" i="9" s="1"/>
  <c r="AJ23" i="9"/>
  <c r="AI23" i="9" s="1"/>
  <c r="AJ17" i="9"/>
  <c r="AI17" i="9" s="1"/>
  <c r="AJ16" i="9"/>
  <c r="AI16" i="9" s="1"/>
  <c r="AJ15" i="9"/>
  <c r="AI15" i="9" s="1"/>
  <c r="AJ14" i="9"/>
  <c r="AI14" i="9" s="1"/>
  <c r="AJ13" i="9"/>
  <c r="AI13" i="9" s="1"/>
  <c r="AF75" i="9"/>
  <c r="AE75" i="9" s="1"/>
  <c r="AF74" i="9"/>
  <c r="AE74" i="9" s="1"/>
  <c r="AF73" i="9"/>
  <c r="AE73" i="9" s="1"/>
  <c r="AF8" i="9"/>
  <c r="AE8" i="9" s="1"/>
  <c r="AF7" i="9"/>
  <c r="AE7" i="9" s="1"/>
  <c r="AF6" i="9"/>
  <c r="AE6" i="9" s="1"/>
  <c r="AF70" i="9"/>
  <c r="AE70" i="9" s="1"/>
  <c r="AF69" i="9"/>
  <c r="AE69" i="9" s="1"/>
  <c r="AF68" i="9"/>
  <c r="AE68" i="9" s="1"/>
  <c r="AF67" i="9"/>
  <c r="AE67" i="9" s="1"/>
  <c r="AF66" i="9"/>
  <c r="AE66" i="9" s="1"/>
  <c r="AF65" i="9"/>
  <c r="AE65" i="9" s="1"/>
  <c r="AF64" i="9"/>
  <c r="AE64" i="9" s="1"/>
  <c r="AF63" i="9"/>
  <c r="AE63" i="9" s="1"/>
  <c r="AF62" i="9"/>
  <c r="AE62" i="9" s="1"/>
  <c r="AF61" i="9"/>
  <c r="AE61" i="9" s="1"/>
  <c r="AF60" i="9"/>
  <c r="AE60" i="9" s="1"/>
  <c r="AF59" i="9"/>
  <c r="AE59" i="9" s="1"/>
  <c r="AF58" i="9"/>
  <c r="AE58" i="9" s="1"/>
  <c r="AF57" i="9"/>
  <c r="AE57" i="9" s="1"/>
  <c r="AF56" i="9"/>
  <c r="AE56" i="9" s="1"/>
  <c r="AF55" i="9"/>
  <c r="AE55" i="9" s="1"/>
  <c r="AF54" i="9"/>
  <c r="AE54" i="9" s="1"/>
  <c r="AF53" i="9"/>
  <c r="AE53" i="9" s="1"/>
  <c r="AF43" i="9"/>
  <c r="AE43" i="9" s="1"/>
  <c r="AF42" i="9"/>
  <c r="AE42" i="9" s="1"/>
  <c r="AF41" i="9"/>
  <c r="AE41" i="9" s="1"/>
  <c r="AF40" i="9"/>
  <c r="AE40" i="9" s="1"/>
  <c r="AF39" i="9"/>
  <c r="AE39" i="9" s="1"/>
  <c r="AF38" i="9"/>
  <c r="AE38" i="9" s="1"/>
  <c r="AF32" i="9"/>
  <c r="AE32" i="9" s="1"/>
  <c r="AF31" i="9"/>
  <c r="AE31" i="9" s="1"/>
  <c r="AF30" i="9"/>
  <c r="AE30" i="9" s="1"/>
  <c r="AF24" i="9"/>
  <c r="AE24" i="9" s="1"/>
  <c r="AF23" i="9"/>
  <c r="AE23" i="9" s="1"/>
  <c r="AF17" i="9"/>
  <c r="AE17" i="9" s="1"/>
  <c r="AF16" i="9"/>
  <c r="AE16" i="9" s="1"/>
  <c r="AF15" i="9"/>
  <c r="AE15" i="9" s="1"/>
  <c r="AF14" i="9"/>
  <c r="AE14" i="9" s="1"/>
  <c r="AF13" i="9"/>
  <c r="AE13" i="9" s="1"/>
  <c r="AB75" i="9"/>
  <c r="AA75" i="9" s="1"/>
  <c r="AB74" i="9"/>
  <c r="AA74" i="9" s="1"/>
  <c r="AB73" i="9"/>
  <c r="AA73" i="9" s="1"/>
  <c r="AB8" i="9"/>
  <c r="AA8" i="9" s="1"/>
  <c r="AB7" i="9"/>
  <c r="AA7" i="9" s="1"/>
  <c r="AB6" i="9"/>
  <c r="AA6" i="9" s="1"/>
  <c r="AB70" i="9"/>
  <c r="AA70" i="9" s="1"/>
  <c r="AB69" i="9"/>
  <c r="AA69" i="9" s="1"/>
  <c r="AB68" i="9"/>
  <c r="AA68" i="9" s="1"/>
  <c r="AB67" i="9"/>
  <c r="AA67" i="9" s="1"/>
  <c r="AB66" i="9"/>
  <c r="AA66" i="9" s="1"/>
  <c r="AB65" i="9"/>
  <c r="AA65" i="9" s="1"/>
  <c r="AB64" i="9"/>
  <c r="AA64" i="9" s="1"/>
  <c r="AB63" i="9"/>
  <c r="AA63" i="9" s="1"/>
  <c r="AB62" i="9"/>
  <c r="AA62" i="9" s="1"/>
  <c r="AB61" i="9"/>
  <c r="AA61" i="9" s="1"/>
  <c r="AB60" i="9"/>
  <c r="AA60" i="9" s="1"/>
  <c r="AB59" i="9"/>
  <c r="AA59" i="9" s="1"/>
  <c r="AB58" i="9"/>
  <c r="AA58" i="9" s="1"/>
  <c r="AB57" i="9"/>
  <c r="AA57" i="9" s="1"/>
  <c r="AB56" i="9"/>
  <c r="AA56" i="9" s="1"/>
  <c r="AB55" i="9"/>
  <c r="AA55" i="9" s="1"/>
  <c r="AB54" i="9"/>
  <c r="AA54" i="9" s="1"/>
  <c r="AB53" i="9"/>
  <c r="AA53" i="9" s="1"/>
  <c r="AB43" i="9"/>
  <c r="AA43" i="9" s="1"/>
  <c r="AB42" i="9"/>
  <c r="AA42" i="9" s="1"/>
  <c r="AB41" i="9"/>
  <c r="AA41" i="9" s="1"/>
  <c r="AB40" i="9"/>
  <c r="AA40" i="9" s="1"/>
  <c r="AB39" i="9"/>
  <c r="AA39" i="9" s="1"/>
  <c r="AB38" i="9"/>
  <c r="AA38" i="9" s="1"/>
  <c r="AB32" i="9"/>
  <c r="AA32" i="9" s="1"/>
  <c r="AB31" i="9"/>
  <c r="AA31" i="9" s="1"/>
  <c r="AB30" i="9"/>
  <c r="AA30" i="9" s="1"/>
  <c r="AB24" i="9"/>
  <c r="AA24" i="9" s="1"/>
  <c r="AB23" i="9"/>
  <c r="AA23" i="9" s="1"/>
  <c r="AB17" i="9"/>
  <c r="AA17" i="9" s="1"/>
  <c r="AB16" i="9"/>
  <c r="AA16" i="9" s="1"/>
  <c r="AB15" i="9"/>
  <c r="AA15" i="9" s="1"/>
  <c r="AB14" i="9"/>
  <c r="AA14" i="9" s="1"/>
  <c r="AB13" i="9"/>
  <c r="AA13" i="9" s="1"/>
  <c r="X75" i="9"/>
  <c r="W75" i="9" s="1"/>
  <c r="X74" i="9"/>
  <c r="W74" i="9" s="1"/>
  <c r="X73" i="9"/>
  <c r="W73" i="9" s="1"/>
  <c r="X8" i="9"/>
  <c r="W8" i="9" s="1"/>
  <c r="X7" i="9"/>
  <c r="W7" i="9" s="1"/>
  <c r="X6" i="9"/>
  <c r="W6" i="9" s="1"/>
  <c r="X70" i="9"/>
  <c r="W70" i="9" s="1"/>
  <c r="X69" i="9"/>
  <c r="W69" i="9" s="1"/>
  <c r="X68" i="9"/>
  <c r="W68" i="9" s="1"/>
  <c r="X67" i="9"/>
  <c r="W67" i="9" s="1"/>
  <c r="X66" i="9"/>
  <c r="W66" i="9" s="1"/>
  <c r="X65" i="9"/>
  <c r="W65" i="9" s="1"/>
  <c r="X64" i="9"/>
  <c r="W64" i="9" s="1"/>
  <c r="X63" i="9"/>
  <c r="W63" i="9" s="1"/>
  <c r="X62" i="9"/>
  <c r="W62" i="9" s="1"/>
  <c r="X61" i="9"/>
  <c r="W61" i="9" s="1"/>
  <c r="X60" i="9"/>
  <c r="W60" i="9" s="1"/>
  <c r="X59" i="9"/>
  <c r="W59" i="9" s="1"/>
  <c r="X58" i="9"/>
  <c r="W58" i="9" s="1"/>
  <c r="X57" i="9"/>
  <c r="W57" i="9" s="1"/>
  <c r="X56" i="9"/>
  <c r="W56" i="9" s="1"/>
  <c r="X55" i="9"/>
  <c r="W55" i="9" s="1"/>
  <c r="X54" i="9"/>
  <c r="W54" i="9" s="1"/>
  <c r="X53" i="9"/>
  <c r="W53" i="9" s="1"/>
  <c r="X43" i="9"/>
  <c r="W43" i="9" s="1"/>
  <c r="X42" i="9"/>
  <c r="W42" i="9" s="1"/>
  <c r="X41" i="9"/>
  <c r="W41" i="9" s="1"/>
  <c r="X40" i="9"/>
  <c r="W40" i="9" s="1"/>
  <c r="X39" i="9"/>
  <c r="W39" i="9" s="1"/>
  <c r="X38" i="9"/>
  <c r="W38" i="9" s="1"/>
  <c r="X32" i="9"/>
  <c r="W32" i="9" s="1"/>
  <c r="X31" i="9"/>
  <c r="W31" i="9" s="1"/>
  <c r="X30" i="9"/>
  <c r="W30" i="9" s="1"/>
  <c r="X24" i="9"/>
  <c r="W24" i="9" s="1"/>
  <c r="X23" i="9"/>
  <c r="W23" i="9" s="1"/>
  <c r="X17" i="9"/>
  <c r="W17" i="9" s="1"/>
  <c r="X16" i="9"/>
  <c r="W16" i="9" s="1"/>
  <c r="X15" i="9"/>
  <c r="W15" i="9" s="1"/>
  <c r="X14" i="9"/>
  <c r="W14" i="9" s="1"/>
  <c r="X13" i="9"/>
  <c r="W13" i="9" s="1"/>
  <c r="T75" i="9"/>
  <c r="S75" i="9" s="1"/>
  <c r="T74" i="9"/>
  <c r="S74" i="9" s="1"/>
  <c r="T73" i="9"/>
  <c r="S73" i="9" s="1"/>
  <c r="T8" i="9"/>
  <c r="S8" i="9" s="1"/>
  <c r="T7" i="9"/>
  <c r="S7" i="9" s="1"/>
  <c r="T6" i="9"/>
  <c r="S6" i="9" s="1"/>
  <c r="T70" i="9"/>
  <c r="S70" i="9" s="1"/>
  <c r="T69" i="9"/>
  <c r="S69" i="9" s="1"/>
  <c r="T68" i="9"/>
  <c r="S68" i="9" s="1"/>
  <c r="T67" i="9"/>
  <c r="S67" i="9" s="1"/>
  <c r="T66" i="9"/>
  <c r="S66" i="9" s="1"/>
  <c r="T65" i="9"/>
  <c r="S65" i="9" s="1"/>
  <c r="T64" i="9"/>
  <c r="S64" i="9" s="1"/>
  <c r="T63" i="9"/>
  <c r="S63" i="9" s="1"/>
  <c r="T62" i="9"/>
  <c r="S62" i="9" s="1"/>
  <c r="T61" i="9"/>
  <c r="S61" i="9" s="1"/>
  <c r="T60" i="9"/>
  <c r="S60" i="9" s="1"/>
  <c r="T59" i="9"/>
  <c r="S59" i="9" s="1"/>
  <c r="T58" i="9"/>
  <c r="S58" i="9" s="1"/>
  <c r="T57" i="9"/>
  <c r="S57" i="9" s="1"/>
  <c r="T56" i="9"/>
  <c r="S56" i="9" s="1"/>
  <c r="T55" i="9"/>
  <c r="S55" i="9" s="1"/>
  <c r="T54" i="9"/>
  <c r="S54" i="9" s="1"/>
  <c r="T53" i="9"/>
  <c r="S53" i="9" s="1"/>
  <c r="T43" i="9"/>
  <c r="S43" i="9" s="1"/>
  <c r="T42" i="9"/>
  <c r="S42" i="9" s="1"/>
  <c r="T41" i="9"/>
  <c r="S41" i="9" s="1"/>
  <c r="T40" i="9"/>
  <c r="S40" i="9" s="1"/>
  <c r="T39" i="9"/>
  <c r="S39" i="9" s="1"/>
  <c r="T38" i="9"/>
  <c r="S38" i="9" s="1"/>
  <c r="T32" i="9"/>
  <c r="S32" i="9" s="1"/>
  <c r="T31" i="9"/>
  <c r="S31" i="9" s="1"/>
  <c r="T30" i="9"/>
  <c r="S30" i="9" s="1"/>
  <c r="T24" i="9"/>
  <c r="S24" i="9" s="1"/>
  <c r="T23" i="9"/>
  <c r="S23" i="9" s="1"/>
  <c r="T17" i="9"/>
  <c r="S17" i="9" s="1"/>
  <c r="T16" i="9"/>
  <c r="S16" i="9" s="1"/>
  <c r="T15" i="9"/>
  <c r="S15" i="9" s="1"/>
  <c r="T14" i="9"/>
  <c r="S14" i="9" s="1"/>
  <c r="T13" i="9"/>
  <c r="S13" i="9" s="1"/>
  <c r="P75" i="9"/>
  <c r="O75" i="9" s="1"/>
  <c r="P74" i="9"/>
  <c r="O74" i="9" s="1"/>
  <c r="P73" i="9"/>
  <c r="O73" i="9" s="1"/>
  <c r="P8" i="9"/>
  <c r="O8" i="9" s="1"/>
  <c r="P7" i="9"/>
  <c r="O7" i="9" s="1"/>
  <c r="P6" i="9"/>
  <c r="O6" i="9" s="1"/>
  <c r="P70" i="9"/>
  <c r="P69" i="9"/>
  <c r="O69" i="9" s="1"/>
  <c r="P68" i="9"/>
  <c r="O68" i="9" s="1"/>
  <c r="P67" i="9"/>
  <c r="O67" i="9" s="1"/>
  <c r="P66" i="9"/>
  <c r="O66" i="9" s="1"/>
  <c r="P65" i="9"/>
  <c r="O65" i="9" s="1"/>
  <c r="P64" i="9"/>
  <c r="O64" i="9" s="1"/>
  <c r="P63" i="9"/>
  <c r="O63" i="9" s="1"/>
  <c r="P62" i="9"/>
  <c r="O62" i="9" s="1"/>
  <c r="P61" i="9"/>
  <c r="O61" i="9" s="1"/>
  <c r="P60" i="9"/>
  <c r="O60" i="9" s="1"/>
  <c r="P59" i="9"/>
  <c r="O59" i="9" s="1"/>
  <c r="P58" i="9"/>
  <c r="O58" i="9" s="1"/>
  <c r="P57" i="9"/>
  <c r="O57" i="9" s="1"/>
  <c r="P56" i="9"/>
  <c r="O56" i="9" s="1"/>
  <c r="P55" i="9"/>
  <c r="O55" i="9" s="1"/>
  <c r="P54" i="9"/>
  <c r="O54" i="9" s="1"/>
  <c r="P53" i="9"/>
  <c r="O53" i="9" s="1"/>
  <c r="P43" i="9"/>
  <c r="P42" i="9"/>
  <c r="P41" i="9"/>
  <c r="P40" i="9"/>
  <c r="P39" i="9"/>
  <c r="P38" i="9"/>
  <c r="P32" i="9"/>
  <c r="P31" i="9"/>
  <c r="P30" i="9"/>
  <c r="P24" i="9"/>
  <c r="P23" i="9"/>
  <c r="P17" i="9"/>
  <c r="O17" i="9" s="1"/>
  <c r="P16" i="9"/>
  <c r="O16" i="9" s="1"/>
  <c r="P15" i="9"/>
  <c r="O15" i="9" s="1"/>
  <c r="P14" i="9"/>
  <c r="O14" i="9" s="1"/>
  <c r="P13" i="9"/>
  <c r="O13" i="9" s="1"/>
  <c r="L75" i="9"/>
  <c r="K75" i="9" s="1"/>
  <c r="L74" i="9"/>
  <c r="K74" i="9" s="1"/>
  <c r="L73" i="9"/>
  <c r="K73" i="9" s="1"/>
  <c r="L70" i="9"/>
  <c r="K70" i="9" s="1"/>
  <c r="L69" i="9"/>
  <c r="K69" i="9" s="1"/>
  <c r="L68" i="9"/>
  <c r="K68" i="9" s="1"/>
  <c r="L67" i="9"/>
  <c r="K67" i="9" s="1"/>
  <c r="L66" i="9"/>
  <c r="K66" i="9" s="1"/>
  <c r="L65" i="9"/>
  <c r="K65" i="9" s="1"/>
  <c r="L64" i="9"/>
  <c r="K64" i="9" s="1"/>
  <c r="L63" i="9"/>
  <c r="K63" i="9" s="1"/>
  <c r="L62" i="9"/>
  <c r="K62" i="9" s="1"/>
  <c r="L61" i="9"/>
  <c r="K61" i="9" s="1"/>
  <c r="L60" i="9"/>
  <c r="K60" i="9" s="1"/>
  <c r="L59" i="9"/>
  <c r="K59" i="9" s="1"/>
  <c r="L58" i="9"/>
  <c r="K58" i="9" s="1"/>
  <c r="L57" i="9"/>
  <c r="K57" i="9" s="1"/>
  <c r="L56" i="9"/>
  <c r="K56" i="9" s="1"/>
  <c r="L55" i="9"/>
  <c r="K55" i="9" s="1"/>
  <c r="L54" i="9"/>
  <c r="K54" i="9" s="1"/>
  <c r="L53" i="9"/>
  <c r="K53" i="9" s="1"/>
  <c r="L43" i="9"/>
  <c r="K43" i="9" s="1"/>
  <c r="L42" i="9"/>
  <c r="K42" i="9" s="1"/>
  <c r="L41" i="9"/>
  <c r="K41" i="9" s="1"/>
  <c r="L40" i="9"/>
  <c r="K40" i="9" s="1"/>
  <c r="L39" i="9"/>
  <c r="K39" i="9" s="1"/>
  <c r="L38" i="9"/>
  <c r="K38" i="9" s="1"/>
  <c r="K44" i="9" s="1"/>
  <c r="L32" i="9"/>
  <c r="K32" i="9" s="1"/>
  <c r="L31" i="9"/>
  <c r="K31" i="9" s="1"/>
  <c r="L30" i="9"/>
  <c r="K30" i="9" s="1"/>
  <c r="K33" i="9" s="1"/>
  <c r="L24" i="9"/>
  <c r="K24" i="9" s="1"/>
  <c r="L23" i="9"/>
  <c r="K23" i="9" s="1"/>
  <c r="K25" i="9" s="1"/>
  <c r="L17" i="9"/>
  <c r="K17" i="9" s="1"/>
  <c r="L16" i="9"/>
  <c r="K16" i="9" s="1"/>
  <c r="L15" i="9"/>
  <c r="K15" i="9" s="1"/>
  <c r="L14" i="9"/>
  <c r="K14" i="9" s="1"/>
  <c r="L13" i="9"/>
  <c r="K13" i="9" s="1"/>
  <c r="K18" i="9" s="1"/>
  <c r="K48" i="9" s="1"/>
  <c r="L6" i="9"/>
  <c r="K6" i="9" s="1"/>
  <c r="L7" i="9"/>
  <c r="K7" i="9" s="1"/>
  <c r="L8" i="9"/>
  <c r="K8" i="9" s="1"/>
  <c r="AV5" i="9"/>
  <c r="AU5" i="9" s="1"/>
  <c r="AR5" i="9"/>
  <c r="AQ5" i="9" s="1"/>
  <c r="AN5" i="9"/>
  <c r="AM5" i="9" s="1"/>
  <c r="AJ5" i="9"/>
  <c r="AI5" i="9" s="1"/>
  <c r="AF5" i="9"/>
  <c r="AE5" i="9" s="1"/>
  <c r="AB5" i="9"/>
  <c r="AA5" i="9" s="1"/>
  <c r="X5" i="9"/>
  <c r="W5" i="9" s="1"/>
  <c r="T5" i="9"/>
  <c r="S5" i="9" s="1"/>
  <c r="P5" i="9"/>
  <c r="O5" i="9" s="1"/>
  <c r="L5" i="9"/>
  <c r="K5" i="9" s="1"/>
  <c r="H75" i="9"/>
  <c r="G75" i="9" s="1"/>
  <c r="H74" i="9"/>
  <c r="G74" i="9" s="1"/>
  <c r="H73" i="9"/>
  <c r="G73" i="9" s="1"/>
  <c r="H70" i="9"/>
  <c r="G70" i="9" s="1"/>
  <c r="H69" i="9"/>
  <c r="G69" i="9" s="1"/>
  <c r="H68" i="9"/>
  <c r="G68" i="9" s="1"/>
  <c r="H67" i="9"/>
  <c r="G67" i="9" s="1"/>
  <c r="H66" i="9"/>
  <c r="G66" i="9" s="1"/>
  <c r="H65" i="9"/>
  <c r="G65" i="9" s="1"/>
  <c r="H64" i="9"/>
  <c r="G64" i="9" s="1"/>
  <c r="H63" i="9"/>
  <c r="G63" i="9" s="1"/>
  <c r="H62" i="9"/>
  <c r="G62" i="9" s="1"/>
  <c r="H61" i="9"/>
  <c r="G61" i="9" s="1"/>
  <c r="H60" i="9"/>
  <c r="G60" i="9" s="1"/>
  <c r="H59" i="9"/>
  <c r="G59" i="9" s="1"/>
  <c r="H58" i="9"/>
  <c r="G58" i="9" s="1"/>
  <c r="H57" i="9"/>
  <c r="G57" i="9" s="1"/>
  <c r="H56" i="9"/>
  <c r="G56" i="9" s="1"/>
  <c r="H55" i="9"/>
  <c r="G55" i="9" s="1"/>
  <c r="H54" i="9"/>
  <c r="G54" i="9" s="1"/>
  <c r="H53" i="9"/>
  <c r="G53" i="9" s="1"/>
  <c r="H43" i="9"/>
  <c r="G43" i="9" s="1"/>
  <c r="H42" i="9"/>
  <c r="G42" i="9" s="1"/>
  <c r="H41" i="9"/>
  <c r="G41" i="9" s="1"/>
  <c r="H40" i="9"/>
  <c r="G40" i="9" s="1"/>
  <c r="H39" i="9"/>
  <c r="G39" i="9" s="1"/>
  <c r="H38" i="9"/>
  <c r="G38" i="9" s="1"/>
  <c r="H32" i="9"/>
  <c r="G32" i="9" s="1"/>
  <c r="H31" i="9"/>
  <c r="G31" i="9" s="1"/>
  <c r="H30" i="9"/>
  <c r="G30" i="9" s="1"/>
  <c r="H24" i="9"/>
  <c r="G24" i="9" s="1"/>
  <c r="H17" i="9"/>
  <c r="G17" i="9" s="1"/>
  <c r="H16" i="9"/>
  <c r="G16" i="9" s="1"/>
  <c r="H15" i="9"/>
  <c r="G15" i="9" s="1"/>
  <c r="H14" i="9"/>
  <c r="G14" i="9" s="1"/>
  <c r="H13" i="9"/>
  <c r="G13" i="9" s="1"/>
  <c r="H6" i="9"/>
  <c r="G6" i="9" s="1"/>
  <c r="H7" i="9"/>
  <c r="G7" i="9" s="1"/>
  <c r="H8" i="9"/>
  <c r="G8" i="9" s="1"/>
  <c r="H5" i="9"/>
  <c r="G5" i="9" s="1"/>
  <c r="G9" i="9"/>
  <c r="G18" i="9"/>
  <c r="G19" i="9"/>
  <c r="G20" i="9"/>
  <c r="G25" i="9"/>
  <c r="G26" i="9"/>
  <c r="G27" i="9"/>
  <c r="G33" i="9"/>
  <c r="G34" i="9"/>
  <c r="G35" i="9"/>
  <c r="G44" i="9"/>
  <c r="G45" i="9"/>
  <c r="D66" i="9"/>
  <c r="D70" i="9"/>
  <c r="C70" i="9"/>
  <c r="C66" i="9"/>
  <c r="AZ66" i="9" s="1"/>
  <c r="D75" i="9"/>
  <c r="C75" i="9" s="1"/>
  <c r="D74" i="9"/>
  <c r="C74" i="9" s="1"/>
  <c r="D73" i="9"/>
  <c r="C73" i="9" s="1"/>
  <c r="D69" i="9"/>
  <c r="C69" i="9" s="1"/>
  <c r="AZ69" i="9" s="1"/>
  <c r="D68" i="9"/>
  <c r="C68" i="9" s="1"/>
  <c r="AZ68" i="9" s="1"/>
  <c r="D67" i="9"/>
  <c r="C67" i="9" s="1"/>
  <c r="AZ67" i="9" s="1"/>
  <c r="D65" i="9"/>
  <c r="C65" i="9" s="1"/>
  <c r="AZ65" i="9" s="1"/>
  <c r="D64" i="9"/>
  <c r="C64" i="9" s="1"/>
  <c r="D63" i="9"/>
  <c r="C63" i="9" s="1"/>
  <c r="AZ63" i="9" s="1"/>
  <c r="D62" i="9"/>
  <c r="C62" i="9" s="1"/>
  <c r="AZ62" i="9" s="1"/>
  <c r="D61" i="9"/>
  <c r="C61" i="9" s="1"/>
  <c r="AZ61" i="9" s="1"/>
  <c r="D60" i="9"/>
  <c r="C60" i="9" s="1"/>
  <c r="AZ60" i="9" s="1"/>
  <c r="D59" i="9"/>
  <c r="C59" i="9" s="1"/>
  <c r="AZ59" i="9" s="1"/>
  <c r="D58" i="9"/>
  <c r="C58" i="9" s="1"/>
  <c r="AZ58" i="9" s="1"/>
  <c r="D57" i="9"/>
  <c r="C57" i="9" s="1"/>
  <c r="AZ57" i="9" s="1"/>
  <c r="D56" i="9"/>
  <c r="C56" i="9" s="1"/>
  <c r="AZ56" i="9" s="1"/>
  <c r="D55" i="9"/>
  <c r="C55" i="9" s="1"/>
  <c r="AZ55" i="9" s="1"/>
  <c r="D54" i="9"/>
  <c r="C54" i="9" s="1"/>
  <c r="AZ54" i="9" s="1"/>
  <c r="D53" i="9"/>
  <c r="C53" i="9" s="1"/>
  <c r="AZ53" i="9" s="1"/>
  <c r="D43" i="9"/>
  <c r="C43" i="9" s="1"/>
  <c r="D42" i="9"/>
  <c r="C42" i="9" s="1"/>
  <c r="D41" i="9"/>
  <c r="C41" i="9" s="1"/>
  <c r="D40" i="9"/>
  <c r="C40" i="9" s="1"/>
  <c r="D39" i="9"/>
  <c r="C39" i="9" s="1"/>
  <c r="D38" i="9"/>
  <c r="C38" i="9" s="1"/>
  <c r="AZ38" i="9" s="1"/>
  <c r="D32" i="9"/>
  <c r="C32" i="9" s="1"/>
  <c r="D31" i="9"/>
  <c r="C31" i="9" s="1"/>
  <c r="AZ31" i="9" s="1"/>
  <c r="D30" i="9"/>
  <c r="C30" i="9" s="1"/>
  <c r="D24" i="9"/>
  <c r="C24" i="9" s="1"/>
  <c r="AZ24" i="9" s="1"/>
  <c r="D23" i="9"/>
  <c r="C23" i="9" s="1"/>
  <c r="AZ23" i="9" s="1"/>
  <c r="D17" i="9"/>
  <c r="C17" i="9" s="1"/>
  <c r="D16" i="9"/>
  <c r="C16" i="9" s="1"/>
  <c r="AZ16" i="9" s="1"/>
  <c r="D15" i="9"/>
  <c r="C15" i="9" s="1"/>
  <c r="D14" i="9"/>
  <c r="C14" i="9" s="1"/>
  <c r="D13" i="9"/>
  <c r="C13" i="9" s="1"/>
  <c r="D6" i="9"/>
  <c r="C6" i="9" s="1"/>
  <c r="AZ6" i="9" s="1"/>
  <c r="D7" i="9"/>
  <c r="C7" i="9" s="1"/>
  <c r="AZ7" i="9" s="1"/>
  <c r="D8" i="9"/>
  <c r="C8" i="9" s="1"/>
  <c r="AZ8" i="9" s="1"/>
  <c r="D5" i="9"/>
  <c r="C5" i="9" s="1"/>
  <c r="AZ5" i="9" s="1"/>
  <c r="AY70" i="9"/>
  <c r="AY69" i="9"/>
  <c r="AY68" i="9"/>
  <c r="AY67" i="9"/>
  <c r="AY66" i="9"/>
  <c r="AY65" i="9"/>
  <c r="AY62" i="9"/>
  <c r="AY63" i="9" s="1"/>
  <c r="AY61" i="9"/>
  <c r="AY60" i="9"/>
  <c r="AY59" i="9"/>
  <c r="AY58" i="9"/>
  <c r="AY57" i="9"/>
  <c r="AY56" i="9"/>
  <c r="AY55" i="9"/>
  <c r="AY54" i="9"/>
  <c r="AY53" i="9"/>
  <c r="O43" i="9"/>
  <c r="AZ43" i="9"/>
  <c r="O42" i="9"/>
  <c r="AZ42" i="9"/>
  <c r="O41" i="9"/>
  <c r="AZ41" i="9"/>
  <c r="O40" i="9"/>
  <c r="AZ40" i="9"/>
  <c r="O39" i="9"/>
  <c r="AZ39" i="9"/>
  <c r="AY35" i="9"/>
  <c r="AY34" i="9"/>
  <c r="O32" i="9"/>
  <c r="AZ32" i="9"/>
  <c r="AY31" i="9"/>
  <c r="AU33" i="9"/>
  <c r="AQ33" i="9"/>
  <c r="AM33" i="9"/>
  <c r="AI33" i="9"/>
  <c r="AE33" i="9"/>
  <c r="AA33" i="9"/>
  <c r="W33" i="9"/>
  <c r="S33" i="9"/>
  <c r="O30" i="9"/>
  <c r="O33" i="9" s="1"/>
  <c r="AU25" i="9"/>
  <c r="AQ25" i="9"/>
  <c r="AM25" i="9"/>
  <c r="AI25" i="9"/>
  <c r="AE25" i="9"/>
  <c r="AA25" i="9"/>
  <c r="W25" i="9"/>
  <c r="S25" i="9"/>
  <c r="O25" i="9"/>
  <c r="C25" i="9"/>
  <c r="AY23" i="9"/>
  <c r="AY25" i="9" s="1"/>
  <c r="AY18" i="9"/>
  <c r="AZ17" i="9"/>
  <c r="AZ15" i="9"/>
  <c r="AZ14" i="9"/>
  <c r="AU18" i="9"/>
  <c r="AQ18" i="9"/>
  <c r="AM18" i="9"/>
  <c r="AI18" i="9"/>
  <c r="AE18" i="9"/>
  <c r="AA18" i="9"/>
  <c r="W18" i="9"/>
  <c r="S18" i="9"/>
  <c r="O18" i="9"/>
  <c r="AY9" i="9"/>
  <c r="AU9" i="9"/>
  <c r="AQ9" i="9"/>
  <c r="AM9" i="9"/>
  <c r="AI9" i="9"/>
  <c r="AE9" i="9"/>
  <c r="AA9" i="9"/>
  <c r="W9" i="9"/>
  <c r="S9" i="9"/>
  <c r="O9" i="9"/>
  <c r="K9" i="9"/>
  <c r="K49" i="9" s="1"/>
  <c r="C9" i="9"/>
  <c r="AY4" i="9"/>
  <c r="U74" i="8"/>
  <c r="U73" i="8"/>
  <c r="U64" i="8"/>
  <c r="T75" i="8"/>
  <c r="V75" i="8" s="1"/>
  <c r="T74" i="8"/>
  <c r="V74" i="8" s="1"/>
  <c r="T73" i="8"/>
  <c r="V73" i="8" s="1"/>
  <c r="T64" i="8"/>
  <c r="V64" i="8" s="1"/>
  <c r="U76" i="8"/>
  <c r="V76" i="8"/>
  <c r="T76" i="8"/>
  <c r="Q25" i="8"/>
  <c r="Q50" i="8"/>
  <c r="P76" i="8"/>
  <c r="N75" i="8"/>
  <c r="M75" i="8"/>
  <c r="L75" i="8"/>
  <c r="K75" i="8"/>
  <c r="J75" i="8"/>
  <c r="I75" i="8"/>
  <c r="H75" i="8"/>
  <c r="G75" i="8"/>
  <c r="F75" i="8"/>
  <c r="E75" i="8"/>
  <c r="D75" i="8"/>
  <c r="C75" i="8"/>
  <c r="O75" i="8" s="1"/>
  <c r="N74" i="8"/>
  <c r="M74" i="8"/>
  <c r="L74" i="8"/>
  <c r="K74" i="8"/>
  <c r="J74" i="8"/>
  <c r="I74" i="8"/>
  <c r="H74" i="8"/>
  <c r="G74" i="8"/>
  <c r="F74" i="8"/>
  <c r="E74" i="8"/>
  <c r="D74" i="8"/>
  <c r="C74" i="8"/>
  <c r="O74" i="8" s="1"/>
  <c r="N73" i="8"/>
  <c r="N76" i="8" s="1"/>
  <c r="M73" i="8"/>
  <c r="M76" i="8" s="1"/>
  <c r="L73" i="8"/>
  <c r="L76" i="8" s="1"/>
  <c r="K73" i="8"/>
  <c r="K76" i="8" s="1"/>
  <c r="J73" i="8"/>
  <c r="J76" i="8" s="1"/>
  <c r="I73" i="8"/>
  <c r="I76" i="8" s="1"/>
  <c r="H73" i="8"/>
  <c r="H76" i="8" s="1"/>
  <c r="G73" i="8"/>
  <c r="G76" i="8" s="1"/>
  <c r="F73" i="8"/>
  <c r="F76" i="8" s="1"/>
  <c r="E73" i="8"/>
  <c r="E76" i="8" s="1"/>
  <c r="D73" i="8"/>
  <c r="D76" i="8" s="1"/>
  <c r="C73" i="8"/>
  <c r="P70" i="8"/>
  <c r="O70" i="8"/>
  <c r="P69" i="8"/>
  <c r="O69" i="8"/>
  <c r="P68" i="8"/>
  <c r="O68" i="8"/>
  <c r="P67" i="8"/>
  <c r="O67" i="8"/>
  <c r="P66" i="8"/>
  <c r="O66" i="8"/>
  <c r="P65" i="8"/>
  <c r="O65" i="8"/>
  <c r="N64" i="8"/>
  <c r="M64" i="8"/>
  <c r="L64" i="8"/>
  <c r="K64" i="8"/>
  <c r="J64" i="8"/>
  <c r="I64" i="8"/>
  <c r="H64" i="8"/>
  <c r="G64" i="8"/>
  <c r="F64" i="8"/>
  <c r="E64" i="8"/>
  <c r="D64" i="8"/>
  <c r="C64" i="8"/>
  <c r="O64" i="8" s="1"/>
  <c r="P62" i="8"/>
  <c r="O62" i="8"/>
  <c r="O63" i="8" s="1"/>
  <c r="P61" i="8"/>
  <c r="O61" i="8"/>
  <c r="P60" i="8"/>
  <c r="O60" i="8"/>
  <c r="P59" i="8"/>
  <c r="O59" i="8"/>
  <c r="P58" i="8"/>
  <c r="O58" i="8"/>
  <c r="P57" i="8"/>
  <c r="O57" i="8"/>
  <c r="P56" i="8"/>
  <c r="O56" i="8"/>
  <c r="P55" i="8"/>
  <c r="O55" i="8"/>
  <c r="P54" i="8"/>
  <c r="O54" i="8"/>
  <c r="P53" i="8"/>
  <c r="O53" i="8"/>
  <c r="O71" i="8" s="1"/>
  <c r="N43" i="8"/>
  <c r="M43" i="8"/>
  <c r="L43" i="8"/>
  <c r="K43" i="8"/>
  <c r="J43" i="8"/>
  <c r="I43" i="8"/>
  <c r="H43" i="8"/>
  <c r="G43" i="8"/>
  <c r="F43" i="8"/>
  <c r="E43" i="8"/>
  <c r="D43" i="8"/>
  <c r="C43" i="8"/>
  <c r="P43" i="8" s="1"/>
  <c r="N42" i="8"/>
  <c r="M42" i="8"/>
  <c r="L42" i="8"/>
  <c r="K42" i="8"/>
  <c r="J42" i="8"/>
  <c r="I42" i="8"/>
  <c r="H42" i="8"/>
  <c r="G42" i="8"/>
  <c r="F42" i="8"/>
  <c r="E42" i="8"/>
  <c r="D42" i="8"/>
  <c r="C42" i="8"/>
  <c r="P42" i="8" s="1"/>
  <c r="N41" i="8"/>
  <c r="M41" i="8"/>
  <c r="L41" i="8"/>
  <c r="K41" i="8"/>
  <c r="J41" i="8"/>
  <c r="I41" i="8"/>
  <c r="H41" i="8"/>
  <c r="G41" i="8"/>
  <c r="F41" i="8"/>
  <c r="E41" i="8"/>
  <c r="D41" i="8"/>
  <c r="C41" i="8"/>
  <c r="N40" i="8"/>
  <c r="M40" i="8"/>
  <c r="L40" i="8"/>
  <c r="K40" i="8"/>
  <c r="J40" i="8"/>
  <c r="I40" i="8"/>
  <c r="H40" i="8"/>
  <c r="G40" i="8"/>
  <c r="F40" i="8"/>
  <c r="E40" i="8"/>
  <c r="D40" i="8"/>
  <c r="C40" i="8"/>
  <c r="N39" i="8"/>
  <c r="M39" i="8"/>
  <c r="L39" i="8"/>
  <c r="K39" i="8"/>
  <c r="J39" i="8"/>
  <c r="I39" i="8"/>
  <c r="H39" i="8"/>
  <c r="G39" i="8"/>
  <c r="F39" i="8"/>
  <c r="E39" i="8"/>
  <c r="D39" i="8"/>
  <c r="C39" i="8"/>
  <c r="P38" i="8"/>
  <c r="O35" i="8"/>
  <c r="O34" i="8"/>
  <c r="N32" i="8"/>
  <c r="M32" i="8"/>
  <c r="L32" i="8"/>
  <c r="K32" i="8"/>
  <c r="J32" i="8"/>
  <c r="I32" i="8"/>
  <c r="H32" i="8"/>
  <c r="G32" i="8"/>
  <c r="F32" i="8"/>
  <c r="E32" i="8"/>
  <c r="D32" i="8"/>
  <c r="C32" i="8"/>
  <c r="P32" i="8" s="1"/>
  <c r="P31" i="8"/>
  <c r="O31" i="8"/>
  <c r="N30" i="8"/>
  <c r="N33" i="8" s="1"/>
  <c r="M30" i="8"/>
  <c r="M33" i="8" s="1"/>
  <c r="L30" i="8"/>
  <c r="L33" i="8" s="1"/>
  <c r="K30" i="8"/>
  <c r="K33" i="8" s="1"/>
  <c r="J30" i="8"/>
  <c r="J33" i="8" s="1"/>
  <c r="I30" i="8"/>
  <c r="I33" i="8" s="1"/>
  <c r="H30" i="8"/>
  <c r="H33" i="8" s="1"/>
  <c r="G30" i="8"/>
  <c r="G33" i="8" s="1"/>
  <c r="F30" i="8"/>
  <c r="F33" i="8" s="1"/>
  <c r="E30" i="8"/>
  <c r="E33" i="8" s="1"/>
  <c r="D30" i="8"/>
  <c r="D33" i="8" s="1"/>
  <c r="C30" i="8"/>
  <c r="N25" i="8"/>
  <c r="M25" i="8"/>
  <c r="L25" i="8"/>
  <c r="K25" i="8"/>
  <c r="J25" i="8"/>
  <c r="I25" i="8"/>
  <c r="H25" i="8"/>
  <c r="G25" i="8"/>
  <c r="F25" i="8"/>
  <c r="E25" i="8"/>
  <c r="D25" i="8"/>
  <c r="C25" i="8"/>
  <c r="P24" i="8"/>
  <c r="P23" i="8"/>
  <c r="O23" i="8"/>
  <c r="O25" i="8" s="1"/>
  <c r="O18" i="8"/>
  <c r="N17" i="8"/>
  <c r="M17" i="8"/>
  <c r="L17" i="8"/>
  <c r="K17" i="8"/>
  <c r="J17" i="8"/>
  <c r="I17" i="8"/>
  <c r="H17" i="8"/>
  <c r="G17" i="8"/>
  <c r="F17" i="8"/>
  <c r="E17" i="8"/>
  <c r="D17" i="8"/>
  <c r="C17" i="8"/>
  <c r="P17" i="8" s="1"/>
  <c r="P16" i="8"/>
  <c r="N15" i="8"/>
  <c r="M15" i="8"/>
  <c r="L15" i="8"/>
  <c r="K15" i="8"/>
  <c r="J15" i="8"/>
  <c r="I15" i="8"/>
  <c r="H15" i="8"/>
  <c r="G15" i="8"/>
  <c r="F15" i="8"/>
  <c r="E15" i="8"/>
  <c r="D15" i="8"/>
  <c r="C15" i="8"/>
  <c r="P15" i="8" s="1"/>
  <c r="N14" i="8"/>
  <c r="M14" i="8"/>
  <c r="L14" i="8"/>
  <c r="K14" i="8"/>
  <c r="J14" i="8"/>
  <c r="I14" i="8"/>
  <c r="H14" i="8"/>
  <c r="G14" i="8"/>
  <c r="F14" i="8"/>
  <c r="E14" i="8"/>
  <c r="D14" i="8"/>
  <c r="C14" i="8"/>
  <c r="P14" i="8" s="1"/>
  <c r="N13" i="8"/>
  <c r="N18" i="8" s="1"/>
  <c r="M13" i="8"/>
  <c r="M18" i="8" s="1"/>
  <c r="L13" i="8"/>
  <c r="L18" i="8" s="1"/>
  <c r="K13" i="8"/>
  <c r="K18" i="8" s="1"/>
  <c r="J13" i="8"/>
  <c r="J18" i="8" s="1"/>
  <c r="I13" i="8"/>
  <c r="I18" i="8" s="1"/>
  <c r="H13" i="8"/>
  <c r="H18" i="8" s="1"/>
  <c r="G13" i="8"/>
  <c r="G18" i="8" s="1"/>
  <c r="F13" i="8"/>
  <c r="F18" i="8" s="1"/>
  <c r="E13" i="8"/>
  <c r="E18" i="8" s="1"/>
  <c r="D13" i="8"/>
  <c r="D18" i="8" s="1"/>
  <c r="C13" i="8"/>
  <c r="O9" i="8"/>
  <c r="N9" i="8"/>
  <c r="M9" i="8"/>
  <c r="L9" i="8"/>
  <c r="K9" i="8"/>
  <c r="J9" i="8"/>
  <c r="I9" i="8"/>
  <c r="H9" i="8"/>
  <c r="G9" i="8"/>
  <c r="F9" i="8"/>
  <c r="E9" i="8"/>
  <c r="D9" i="8"/>
  <c r="C9" i="8"/>
  <c r="P8" i="8"/>
  <c r="P7" i="8"/>
  <c r="P6" i="8"/>
  <c r="P5" i="8"/>
  <c r="O4" i="8"/>
  <c r="P13" i="7"/>
  <c r="P14" i="7"/>
  <c r="P15" i="7"/>
  <c r="P16" i="7"/>
  <c r="P13" i="6"/>
  <c r="P14" i="6"/>
  <c r="P15" i="6"/>
  <c r="P16" i="6"/>
  <c r="P76" i="7"/>
  <c r="N75" i="7"/>
  <c r="M75" i="7"/>
  <c r="L75" i="7"/>
  <c r="K75" i="7"/>
  <c r="J75" i="7"/>
  <c r="I75" i="7"/>
  <c r="H75" i="7"/>
  <c r="G75" i="7"/>
  <c r="F75" i="7"/>
  <c r="E75" i="7"/>
  <c r="D75" i="7"/>
  <c r="C75" i="7"/>
  <c r="O75" i="7" s="1"/>
  <c r="N74" i="7"/>
  <c r="M74" i="7"/>
  <c r="L74" i="7"/>
  <c r="K74" i="7"/>
  <c r="J74" i="7"/>
  <c r="I74" i="7"/>
  <c r="H74" i="7"/>
  <c r="G74" i="7"/>
  <c r="F74" i="7"/>
  <c r="E74" i="7"/>
  <c r="D74" i="7"/>
  <c r="C74" i="7"/>
  <c r="O74" i="7" s="1"/>
  <c r="N73" i="7"/>
  <c r="N76" i="7" s="1"/>
  <c r="M73" i="7"/>
  <c r="M76" i="7" s="1"/>
  <c r="L73" i="7"/>
  <c r="L76" i="7" s="1"/>
  <c r="K73" i="7"/>
  <c r="K76" i="7" s="1"/>
  <c r="J73" i="7"/>
  <c r="J76" i="7" s="1"/>
  <c r="I73" i="7"/>
  <c r="I76" i="7" s="1"/>
  <c r="H73" i="7"/>
  <c r="H76" i="7" s="1"/>
  <c r="G73" i="7"/>
  <c r="G76" i="7" s="1"/>
  <c r="F73" i="7"/>
  <c r="F76" i="7" s="1"/>
  <c r="E73" i="7"/>
  <c r="E76" i="7" s="1"/>
  <c r="D73" i="7"/>
  <c r="D76" i="7" s="1"/>
  <c r="C73" i="7"/>
  <c r="P70" i="7"/>
  <c r="O70" i="7"/>
  <c r="P69" i="7"/>
  <c r="O69" i="7"/>
  <c r="P68" i="7"/>
  <c r="O68" i="7"/>
  <c r="P67" i="7"/>
  <c r="O67" i="7"/>
  <c r="P66" i="7"/>
  <c r="O66" i="7"/>
  <c r="P65" i="7"/>
  <c r="O65" i="7"/>
  <c r="N64" i="7"/>
  <c r="M64" i="7"/>
  <c r="L64" i="7"/>
  <c r="K64" i="7"/>
  <c r="J64" i="7"/>
  <c r="I64" i="7"/>
  <c r="H64" i="7"/>
  <c r="G64" i="7"/>
  <c r="F64" i="7"/>
  <c r="E64" i="7"/>
  <c r="D64" i="7"/>
  <c r="C64" i="7"/>
  <c r="O64" i="7" s="1"/>
  <c r="P62" i="7"/>
  <c r="O62" i="7"/>
  <c r="O63" i="7" s="1"/>
  <c r="P61" i="7"/>
  <c r="O61" i="7"/>
  <c r="P60" i="7"/>
  <c r="O60" i="7"/>
  <c r="P59" i="7"/>
  <c r="O59" i="7"/>
  <c r="P58" i="7"/>
  <c r="O58" i="7"/>
  <c r="P57" i="7"/>
  <c r="O57" i="7"/>
  <c r="P56" i="7"/>
  <c r="O56" i="7"/>
  <c r="P55" i="7"/>
  <c r="O55" i="7"/>
  <c r="P54" i="7"/>
  <c r="O54" i="7"/>
  <c r="P53" i="7"/>
  <c r="O53" i="7"/>
  <c r="O71" i="7" s="1"/>
  <c r="Q50" i="7"/>
  <c r="N43" i="7"/>
  <c r="M43" i="7"/>
  <c r="L43" i="7"/>
  <c r="K43" i="7"/>
  <c r="J43" i="7"/>
  <c r="I43" i="7"/>
  <c r="H43" i="7"/>
  <c r="G43" i="7"/>
  <c r="F43" i="7"/>
  <c r="E43" i="7"/>
  <c r="D43" i="7"/>
  <c r="C43" i="7"/>
  <c r="P43" i="7" s="1"/>
  <c r="N42" i="7"/>
  <c r="M42" i="7"/>
  <c r="L42" i="7"/>
  <c r="K42" i="7"/>
  <c r="J42" i="7"/>
  <c r="I42" i="7"/>
  <c r="H42" i="7"/>
  <c r="G42" i="7"/>
  <c r="F42" i="7"/>
  <c r="E42" i="7"/>
  <c r="D42" i="7"/>
  <c r="C42" i="7"/>
  <c r="P42" i="7" s="1"/>
  <c r="N41" i="7"/>
  <c r="M41" i="7"/>
  <c r="L41" i="7"/>
  <c r="K41" i="7"/>
  <c r="J41" i="7"/>
  <c r="I41" i="7"/>
  <c r="H41" i="7"/>
  <c r="G41" i="7"/>
  <c r="F41" i="7"/>
  <c r="E41" i="7"/>
  <c r="D41" i="7"/>
  <c r="C41" i="7"/>
  <c r="N40" i="7"/>
  <c r="M40" i="7"/>
  <c r="L40" i="7"/>
  <c r="K40" i="7"/>
  <c r="J40" i="7"/>
  <c r="I40" i="7"/>
  <c r="H40" i="7"/>
  <c r="G40" i="7"/>
  <c r="F40" i="7"/>
  <c r="E40" i="7"/>
  <c r="D40" i="7"/>
  <c r="C40" i="7"/>
  <c r="N39" i="7"/>
  <c r="M39" i="7"/>
  <c r="L39" i="7"/>
  <c r="K39" i="7"/>
  <c r="J39" i="7"/>
  <c r="I39" i="7"/>
  <c r="H39" i="7"/>
  <c r="G39" i="7"/>
  <c r="F39" i="7"/>
  <c r="E39" i="7"/>
  <c r="D39" i="7"/>
  <c r="C39" i="7"/>
  <c r="P38" i="7"/>
  <c r="O35" i="7"/>
  <c r="O34" i="7"/>
  <c r="N31" i="7"/>
  <c r="M31" i="7"/>
  <c r="L31" i="7"/>
  <c r="K31" i="7"/>
  <c r="J31" i="7"/>
  <c r="I31" i="7"/>
  <c r="H31" i="7"/>
  <c r="G31" i="7"/>
  <c r="F31" i="7"/>
  <c r="E31" i="7"/>
  <c r="D31" i="7"/>
  <c r="C31" i="7"/>
  <c r="P31" i="7" s="1"/>
  <c r="P30" i="7"/>
  <c r="O30" i="7"/>
  <c r="N32" i="7"/>
  <c r="N33" i="7" s="1"/>
  <c r="M32" i="7"/>
  <c r="M33" i="7" s="1"/>
  <c r="L32" i="7"/>
  <c r="L33" i="7" s="1"/>
  <c r="K32" i="7"/>
  <c r="K33" i="7" s="1"/>
  <c r="J32" i="7"/>
  <c r="J33" i="7" s="1"/>
  <c r="I32" i="7"/>
  <c r="I33" i="7" s="1"/>
  <c r="H32" i="7"/>
  <c r="H33" i="7" s="1"/>
  <c r="G32" i="7"/>
  <c r="G33" i="7" s="1"/>
  <c r="F32" i="7"/>
  <c r="F33" i="7" s="1"/>
  <c r="E32" i="7"/>
  <c r="E33" i="7" s="1"/>
  <c r="D32" i="7"/>
  <c r="D33" i="7" s="1"/>
  <c r="C32" i="7"/>
  <c r="Q25" i="7"/>
  <c r="N25" i="7"/>
  <c r="M25" i="7"/>
  <c r="L25" i="7"/>
  <c r="K25" i="7"/>
  <c r="J25" i="7"/>
  <c r="I25" i="7"/>
  <c r="H25" i="7"/>
  <c r="G25" i="7"/>
  <c r="F25" i="7"/>
  <c r="E25" i="7"/>
  <c r="D25" i="7"/>
  <c r="C25" i="7"/>
  <c r="P24" i="7"/>
  <c r="P23" i="7"/>
  <c r="P25" i="7" s="1"/>
  <c r="O23" i="7"/>
  <c r="O25" i="7" s="1"/>
  <c r="O18" i="7"/>
  <c r="N17" i="7"/>
  <c r="M17" i="7"/>
  <c r="L17" i="7"/>
  <c r="K17" i="7"/>
  <c r="J17" i="7"/>
  <c r="I17" i="7"/>
  <c r="H17" i="7"/>
  <c r="G17" i="7"/>
  <c r="F17" i="7"/>
  <c r="E17" i="7"/>
  <c r="D17" i="7"/>
  <c r="C17" i="7"/>
  <c r="P17" i="7" s="1"/>
  <c r="N15" i="7"/>
  <c r="M15" i="7"/>
  <c r="L15" i="7"/>
  <c r="K15" i="7"/>
  <c r="J15" i="7"/>
  <c r="I15" i="7"/>
  <c r="H15" i="7"/>
  <c r="G15" i="7"/>
  <c r="F15" i="7"/>
  <c r="E15" i="7"/>
  <c r="D15" i="7"/>
  <c r="C15" i="7"/>
  <c r="N14" i="7"/>
  <c r="M14" i="7"/>
  <c r="L14" i="7"/>
  <c r="K14" i="7"/>
  <c r="J14" i="7"/>
  <c r="I14" i="7"/>
  <c r="H14" i="7"/>
  <c r="G14" i="7"/>
  <c r="F14" i="7"/>
  <c r="E14" i="7"/>
  <c r="D14" i="7"/>
  <c r="C14" i="7"/>
  <c r="P18" i="7" s="1"/>
  <c r="N18" i="7"/>
  <c r="M18" i="7"/>
  <c r="L18" i="7"/>
  <c r="K18" i="7"/>
  <c r="J18" i="7"/>
  <c r="I18" i="7"/>
  <c r="H18" i="7"/>
  <c r="G18" i="7"/>
  <c r="F18" i="7"/>
  <c r="E18" i="7"/>
  <c r="D18" i="7"/>
  <c r="C18" i="7"/>
  <c r="R9" i="7"/>
  <c r="O9" i="7"/>
  <c r="N9" i="7"/>
  <c r="M9" i="7"/>
  <c r="L9" i="7"/>
  <c r="K9" i="7"/>
  <c r="J9" i="7"/>
  <c r="I9" i="7"/>
  <c r="H9" i="7"/>
  <c r="G9" i="7"/>
  <c r="F9" i="7"/>
  <c r="E9" i="7"/>
  <c r="D9" i="7"/>
  <c r="C9" i="7"/>
  <c r="P8" i="7"/>
  <c r="P7" i="7"/>
  <c r="P6" i="7"/>
  <c r="P5" i="7"/>
  <c r="O4" i="7"/>
  <c r="P76" i="6"/>
  <c r="N76" i="6"/>
  <c r="L76" i="6"/>
  <c r="F76" i="6"/>
  <c r="N75" i="6"/>
  <c r="M75" i="6"/>
  <c r="L75" i="6"/>
  <c r="K75" i="6"/>
  <c r="J75" i="6"/>
  <c r="I75" i="6"/>
  <c r="H75" i="6"/>
  <c r="G75" i="6"/>
  <c r="F75" i="6"/>
  <c r="E75" i="6"/>
  <c r="D75" i="6"/>
  <c r="C75" i="6"/>
  <c r="O75" i="6" s="1"/>
  <c r="N74" i="6"/>
  <c r="M74" i="6"/>
  <c r="L74" i="6"/>
  <c r="K74" i="6"/>
  <c r="J74" i="6"/>
  <c r="I74" i="6"/>
  <c r="H74" i="6"/>
  <c r="H76" i="6" s="1"/>
  <c r="G74" i="6"/>
  <c r="F74" i="6"/>
  <c r="E74" i="6"/>
  <c r="D74" i="6"/>
  <c r="C74" i="6"/>
  <c r="O74" i="6" s="1"/>
  <c r="N73" i="6"/>
  <c r="M73" i="6"/>
  <c r="M76" i="6" s="1"/>
  <c r="L73" i="6"/>
  <c r="K73" i="6"/>
  <c r="K76" i="6" s="1"/>
  <c r="J73" i="6"/>
  <c r="J76" i="6" s="1"/>
  <c r="I73" i="6"/>
  <c r="I76" i="6" s="1"/>
  <c r="H73" i="6"/>
  <c r="G73" i="6"/>
  <c r="G76" i="6" s="1"/>
  <c r="F73" i="6"/>
  <c r="E73" i="6"/>
  <c r="E76" i="6" s="1"/>
  <c r="D73" i="6"/>
  <c r="D76" i="6" s="1"/>
  <c r="C73" i="6"/>
  <c r="O73" i="6" s="1"/>
  <c r="O76" i="6" s="1"/>
  <c r="P70" i="6"/>
  <c r="O70" i="6"/>
  <c r="P69" i="6"/>
  <c r="O69" i="6"/>
  <c r="P68" i="6"/>
  <c r="O68" i="6"/>
  <c r="P67" i="6"/>
  <c r="O67" i="6"/>
  <c r="P66" i="6"/>
  <c r="O66" i="6"/>
  <c r="P65" i="6"/>
  <c r="O65" i="6"/>
  <c r="N64" i="6"/>
  <c r="M64" i="6"/>
  <c r="L64" i="6"/>
  <c r="K64" i="6"/>
  <c r="J64" i="6"/>
  <c r="I64" i="6"/>
  <c r="H64" i="6"/>
  <c r="G64" i="6"/>
  <c r="F64" i="6"/>
  <c r="E64" i="6"/>
  <c r="D64" i="6"/>
  <c r="C64" i="6"/>
  <c r="O64" i="6" s="1"/>
  <c r="O63" i="6"/>
  <c r="P62" i="6"/>
  <c r="O62" i="6"/>
  <c r="P61" i="6"/>
  <c r="O61" i="6"/>
  <c r="P60" i="6"/>
  <c r="O60" i="6"/>
  <c r="P59" i="6"/>
  <c r="O59" i="6"/>
  <c r="P58" i="6"/>
  <c r="O58" i="6"/>
  <c r="P57" i="6"/>
  <c r="O57" i="6"/>
  <c r="P56" i="6"/>
  <c r="O56" i="6"/>
  <c r="P55" i="6"/>
  <c r="O55" i="6"/>
  <c r="P54" i="6"/>
  <c r="O54" i="6"/>
  <c r="P53" i="6"/>
  <c r="O53" i="6"/>
  <c r="O71" i="6" s="1"/>
  <c r="Q50" i="6"/>
  <c r="N43" i="6"/>
  <c r="M43" i="6"/>
  <c r="L43" i="6"/>
  <c r="K43" i="6"/>
  <c r="J43" i="6"/>
  <c r="I43" i="6"/>
  <c r="H43" i="6"/>
  <c r="G43" i="6"/>
  <c r="F43" i="6"/>
  <c r="E43" i="6"/>
  <c r="D43" i="6"/>
  <c r="C43" i="6"/>
  <c r="P43" i="6" s="1"/>
  <c r="N42" i="6"/>
  <c r="M42" i="6"/>
  <c r="L42" i="6"/>
  <c r="K42" i="6"/>
  <c r="J42" i="6"/>
  <c r="I42" i="6"/>
  <c r="H42" i="6"/>
  <c r="G42" i="6"/>
  <c r="F42" i="6"/>
  <c r="E42" i="6"/>
  <c r="D42" i="6"/>
  <c r="C42" i="6"/>
  <c r="P42" i="6" s="1"/>
  <c r="N41" i="6"/>
  <c r="M41" i="6"/>
  <c r="L41" i="6"/>
  <c r="K41" i="6"/>
  <c r="J41" i="6"/>
  <c r="I41" i="6"/>
  <c r="H41" i="6"/>
  <c r="G41" i="6"/>
  <c r="F41" i="6"/>
  <c r="E41" i="6"/>
  <c r="D41" i="6"/>
  <c r="C41" i="6"/>
  <c r="P41" i="6" s="1"/>
  <c r="N40" i="6"/>
  <c r="M40" i="6"/>
  <c r="L40" i="6"/>
  <c r="L44" i="6" s="1"/>
  <c r="K40" i="6"/>
  <c r="J40" i="6"/>
  <c r="I40" i="6"/>
  <c r="H40" i="6"/>
  <c r="G40" i="6"/>
  <c r="F40" i="6"/>
  <c r="E40" i="6"/>
  <c r="D40" i="6"/>
  <c r="C40" i="6"/>
  <c r="P40" i="6" s="1"/>
  <c r="N39" i="6"/>
  <c r="N44" i="6" s="1"/>
  <c r="M39" i="6"/>
  <c r="M44" i="6" s="1"/>
  <c r="L39" i="6"/>
  <c r="L63" i="6" s="1"/>
  <c r="L71" i="6" s="1"/>
  <c r="K39" i="6"/>
  <c r="K44" i="6" s="1"/>
  <c r="J39" i="6"/>
  <c r="J44" i="6" s="1"/>
  <c r="I39" i="6"/>
  <c r="I44" i="6" s="1"/>
  <c r="H39" i="6"/>
  <c r="H63" i="6" s="1"/>
  <c r="H71" i="6" s="1"/>
  <c r="G39" i="6"/>
  <c r="G63" i="6" s="1"/>
  <c r="G71" i="6" s="1"/>
  <c r="F39" i="6"/>
  <c r="F63" i="6" s="1"/>
  <c r="F71" i="6" s="1"/>
  <c r="E39" i="6"/>
  <c r="E44" i="6" s="1"/>
  <c r="D39" i="6"/>
  <c r="D44" i="6" s="1"/>
  <c r="C39" i="6"/>
  <c r="C44" i="6" s="1"/>
  <c r="P38" i="6"/>
  <c r="O35" i="6"/>
  <c r="O34" i="6"/>
  <c r="E33" i="6"/>
  <c r="E35" i="6" s="1"/>
  <c r="N32" i="6"/>
  <c r="M32" i="6"/>
  <c r="L32" i="6"/>
  <c r="K32" i="6"/>
  <c r="J32" i="6"/>
  <c r="I32" i="6"/>
  <c r="H32" i="6"/>
  <c r="H33" i="6" s="1"/>
  <c r="G32" i="6"/>
  <c r="G33" i="6" s="1"/>
  <c r="F32" i="6"/>
  <c r="F33" i="6" s="1"/>
  <c r="E32" i="6"/>
  <c r="D32" i="6"/>
  <c r="C32" i="6"/>
  <c r="P32" i="6" s="1"/>
  <c r="P31" i="6"/>
  <c r="O31" i="6"/>
  <c r="N30" i="6"/>
  <c r="N33" i="6" s="1"/>
  <c r="M30" i="6"/>
  <c r="M33" i="6" s="1"/>
  <c r="L30" i="6"/>
  <c r="L33" i="6" s="1"/>
  <c r="K30" i="6"/>
  <c r="K33" i="6" s="1"/>
  <c r="J30" i="6"/>
  <c r="J33" i="6" s="1"/>
  <c r="I30" i="6"/>
  <c r="I33" i="6" s="1"/>
  <c r="H30" i="6"/>
  <c r="G30" i="6"/>
  <c r="F30" i="6"/>
  <c r="E30" i="6"/>
  <c r="D30" i="6"/>
  <c r="D33" i="6" s="1"/>
  <c r="C30" i="6"/>
  <c r="C33" i="6" s="1"/>
  <c r="N27" i="6"/>
  <c r="M27" i="6"/>
  <c r="L27" i="6"/>
  <c r="K27" i="6"/>
  <c r="C27" i="6"/>
  <c r="N26" i="6"/>
  <c r="M26" i="6"/>
  <c r="G26" i="6"/>
  <c r="F26" i="6"/>
  <c r="C26" i="6"/>
  <c r="Q25" i="6"/>
  <c r="P25" i="6"/>
  <c r="P27" i="6" s="1"/>
  <c r="N25" i="6"/>
  <c r="M25" i="6"/>
  <c r="L25" i="6"/>
  <c r="L26" i="6" s="1"/>
  <c r="K25" i="6"/>
  <c r="K26" i="6" s="1"/>
  <c r="J25" i="6"/>
  <c r="J27" i="6" s="1"/>
  <c r="I25" i="6"/>
  <c r="I27" i="6" s="1"/>
  <c r="H25" i="6"/>
  <c r="H27" i="6" s="1"/>
  <c r="G25" i="6"/>
  <c r="G27" i="6" s="1"/>
  <c r="F25" i="6"/>
  <c r="F27" i="6" s="1"/>
  <c r="E25" i="6"/>
  <c r="E27" i="6" s="1"/>
  <c r="D25" i="6"/>
  <c r="D27" i="6" s="1"/>
  <c r="C25" i="6"/>
  <c r="P24" i="6"/>
  <c r="P23" i="6"/>
  <c r="O23" i="6"/>
  <c r="O25" i="6" s="1"/>
  <c r="O19" i="6"/>
  <c r="O18" i="6"/>
  <c r="O20" i="6" s="1"/>
  <c r="M18" i="6"/>
  <c r="M20" i="6" s="1"/>
  <c r="N17" i="6"/>
  <c r="N18" i="6" s="1"/>
  <c r="M17" i="6"/>
  <c r="L17" i="6"/>
  <c r="K17" i="6"/>
  <c r="J17" i="6"/>
  <c r="I17" i="6"/>
  <c r="H17" i="6"/>
  <c r="G17" i="6"/>
  <c r="F17" i="6"/>
  <c r="E17" i="6"/>
  <c r="D17" i="6"/>
  <c r="C17" i="6"/>
  <c r="P17" i="6" s="1"/>
  <c r="N15" i="6"/>
  <c r="M15" i="6"/>
  <c r="L15" i="6"/>
  <c r="K15" i="6"/>
  <c r="J15" i="6"/>
  <c r="I15" i="6"/>
  <c r="H15" i="6"/>
  <c r="G15" i="6"/>
  <c r="G18" i="6" s="1"/>
  <c r="F15" i="6"/>
  <c r="E15" i="6"/>
  <c r="D15" i="6"/>
  <c r="C15" i="6"/>
  <c r="C18" i="6" s="1"/>
  <c r="N14" i="6"/>
  <c r="M14" i="6"/>
  <c r="L14" i="6"/>
  <c r="K14" i="6"/>
  <c r="J14" i="6"/>
  <c r="I14" i="6"/>
  <c r="H14" i="6"/>
  <c r="G14" i="6"/>
  <c r="F14" i="6"/>
  <c r="E14" i="6"/>
  <c r="D14" i="6"/>
  <c r="C14" i="6"/>
  <c r="P18" i="6" s="1"/>
  <c r="N13" i="6"/>
  <c r="M13" i="6"/>
  <c r="L13" i="6"/>
  <c r="L18" i="6" s="1"/>
  <c r="K13" i="6"/>
  <c r="K18" i="6" s="1"/>
  <c r="J13" i="6"/>
  <c r="J18" i="6" s="1"/>
  <c r="I13" i="6"/>
  <c r="I18" i="6" s="1"/>
  <c r="H13" i="6"/>
  <c r="H18" i="6" s="1"/>
  <c r="G13" i="6"/>
  <c r="F13" i="6"/>
  <c r="F18" i="6" s="1"/>
  <c r="E13" i="6"/>
  <c r="E18" i="6" s="1"/>
  <c r="D13" i="6"/>
  <c r="D18" i="6" s="1"/>
  <c r="C13" i="6"/>
  <c r="R9" i="6"/>
  <c r="O9" i="6"/>
  <c r="N9" i="6"/>
  <c r="M9" i="6"/>
  <c r="L9" i="6"/>
  <c r="K9" i="6"/>
  <c r="J9" i="6"/>
  <c r="I9" i="6"/>
  <c r="H9" i="6"/>
  <c r="G9" i="6"/>
  <c r="F9" i="6"/>
  <c r="E9" i="6"/>
  <c r="D9" i="6"/>
  <c r="C9" i="6"/>
  <c r="P8" i="6"/>
  <c r="P7" i="6"/>
  <c r="P6" i="6"/>
  <c r="P26" i="6" s="1"/>
  <c r="P5" i="6"/>
  <c r="O4" i="6"/>
  <c r="BA34" i="9" l="1"/>
  <c r="BA35" i="9"/>
  <c r="BA71" i="9"/>
  <c r="BA77" i="9" s="1"/>
  <c r="P9" i="11"/>
  <c r="P27" i="11"/>
  <c r="P26" i="11"/>
  <c r="C18" i="11"/>
  <c r="P13" i="11"/>
  <c r="P18" i="11" s="1"/>
  <c r="D20" i="11"/>
  <c r="D19" i="11"/>
  <c r="E20" i="11"/>
  <c r="E19" i="11"/>
  <c r="F20" i="11"/>
  <c r="F19" i="11"/>
  <c r="G20" i="11"/>
  <c r="G19" i="11"/>
  <c r="H20" i="11"/>
  <c r="H19" i="11"/>
  <c r="I20" i="11"/>
  <c r="I19" i="11"/>
  <c r="J20" i="11"/>
  <c r="J19" i="11"/>
  <c r="K20" i="11"/>
  <c r="K19" i="11"/>
  <c r="L20" i="11"/>
  <c r="L19" i="11"/>
  <c r="M20" i="11"/>
  <c r="M19" i="11"/>
  <c r="N20" i="11"/>
  <c r="N19" i="11"/>
  <c r="O20" i="11"/>
  <c r="O19" i="11"/>
  <c r="O27" i="11"/>
  <c r="O26" i="11"/>
  <c r="C27" i="11"/>
  <c r="C26" i="11"/>
  <c r="D27" i="11"/>
  <c r="D26" i="11"/>
  <c r="E27" i="11"/>
  <c r="E26" i="11"/>
  <c r="F27" i="11"/>
  <c r="F26" i="11"/>
  <c r="G27" i="11"/>
  <c r="G26" i="11"/>
  <c r="H27" i="11"/>
  <c r="H26" i="11"/>
  <c r="I27" i="11"/>
  <c r="I26" i="11"/>
  <c r="J27" i="11"/>
  <c r="J26" i="11"/>
  <c r="K27" i="11"/>
  <c r="K26" i="11"/>
  <c r="L27" i="11"/>
  <c r="L26" i="11"/>
  <c r="M27" i="11"/>
  <c r="M26" i="11"/>
  <c r="N27" i="11"/>
  <c r="N26" i="11"/>
  <c r="C33" i="11"/>
  <c r="P30" i="11"/>
  <c r="P33" i="11" s="1"/>
  <c r="D35" i="11"/>
  <c r="D34" i="11"/>
  <c r="E35" i="11"/>
  <c r="E34" i="11"/>
  <c r="F35" i="11"/>
  <c r="F34" i="11"/>
  <c r="G35" i="11"/>
  <c r="G34" i="11"/>
  <c r="H35" i="11"/>
  <c r="H34" i="11"/>
  <c r="I35" i="11"/>
  <c r="I34" i="11"/>
  <c r="J35" i="11"/>
  <c r="J34" i="11"/>
  <c r="K35" i="11"/>
  <c r="K34" i="11"/>
  <c r="L35" i="11"/>
  <c r="L34" i="11"/>
  <c r="M35" i="11"/>
  <c r="M34" i="11"/>
  <c r="N35" i="11"/>
  <c r="N34" i="11"/>
  <c r="C63" i="11"/>
  <c r="C44" i="11"/>
  <c r="P39" i="11"/>
  <c r="D63" i="11"/>
  <c r="D71" i="11" s="1"/>
  <c r="D44" i="11"/>
  <c r="E63" i="11"/>
  <c r="E71" i="11" s="1"/>
  <c r="E44" i="11"/>
  <c r="F63" i="11"/>
  <c r="F71" i="11" s="1"/>
  <c r="F44" i="11"/>
  <c r="G63" i="11"/>
  <c r="G71" i="11" s="1"/>
  <c r="G44" i="11"/>
  <c r="H63" i="11"/>
  <c r="H71" i="11" s="1"/>
  <c r="H44" i="11"/>
  <c r="I63" i="11"/>
  <c r="I71" i="11" s="1"/>
  <c r="I44" i="11"/>
  <c r="J63" i="11"/>
  <c r="J71" i="11" s="1"/>
  <c r="J44" i="11"/>
  <c r="K63" i="11"/>
  <c r="K71" i="11" s="1"/>
  <c r="K44" i="11"/>
  <c r="L63" i="11"/>
  <c r="L71" i="11" s="1"/>
  <c r="L44" i="11"/>
  <c r="M63" i="11"/>
  <c r="M71" i="11" s="1"/>
  <c r="M44" i="11"/>
  <c r="N63" i="11"/>
  <c r="N71" i="11" s="1"/>
  <c r="N44" i="11"/>
  <c r="P40" i="11"/>
  <c r="O40" i="11"/>
  <c r="P41" i="11"/>
  <c r="O41" i="11"/>
  <c r="C76" i="11"/>
  <c r="O73" i="11"/>
  <c r="O76" i="11" s="1"/>
  <c r="K19" i="9"/>
  <c r="K20" i="9"/>
  <c r="K34" i="9"/>
  <c r="K35" i="9"/>
  <c r="K26" i="9"/>
  <c r="K27" i="9"/>
  <c r="AZ70" i="9"/>
  <c r="K45" i="9"/>
  <c r="K46" i="9"/>
  <c r="AZ30" i="9"/>
  <c r="AZ13" i="9"/>
  <c r="AZ9" i="9"/>
  <c r="BE5" i="9"/>
  <c r="BD5" i="9"/>
  <c r="BE6" i="9"/>
  <c r="BD6" i="9"/>
  <c r="BE7" i="9"/>
  <c r="BD7" i="9"/>
  <c r="BE8" i="9"/>
  <c r="BD8" i="9"/>
  <c r="C18" i="9"/>
  <c r="O20" i="9"/>
  <c r="O19" i="9"/>
  <c r="S20" i="9"/>
  <c r="S19" i="9"/>
  <c r="W20" i="9"/>
  <c r="W19" i="9"/>
  <c r="AA20" i="9"/>
  <c r="AA19" i="9"/>
  <c r="AE20" i="9"/>
  <c r="AE19" i="9"/>
  <c r="AI20" i="9"/>
  <c r="AI19" i="9"/>
  <c r="AM20" i="9"/>
  <c r="AM19" i="9"/>
  <c r="AQ20" i="9"/>
  <c r="AQ19" i="9"/>
  <c r="AU20" i="9"/>
  <c r="AU19" i="9"/>
  <c r="BE14" i="9"/>
  <c r="BD14" i="9"/>
  <c r="BF14" i="9" s="1"/>
  <c r="BE15" i="9"/>
  <c r="BD15" i="9"/>
  <c r="BF15" i="9" s="1"/>
  <c r="BE16" i="9"/>
  <c r="BD16" i="9"/>
  <c r="BF16" i="9" s="1"/>
  <c r="BE17" i="9"/>
  <c r="BD17" i="9"/>
  <c r="BF17" i="9" s="1"/>
  <c r="AY20" i="9"/>
  <c r="AY19" i="9"/>
  <c r="AY27" i="9"/>
  <c r="AY26" i="9"/>
  <c r="AZ25" i="9"/>
  <c r="BE23" i="9"/>
  <c r="BD23" i="9"/>
  <c r="BE24" i="9"/>
  <c r="BD24" i="9"/>
  <c r="BF24" i="9" s="1"/>
  <c r="C27" i="9"/>
  <c r="C26" i="9"/>
  <c r="O27" i="9"/>
  <c r="O26" i="9"/>
  <c r="S27" i="9"/>
  <c r="S26" i="9"/>
  <c r="W27" i="9"/>
  <c r="W26" i="9"/>
  <c r="AA27" i="9"/>
  <c r="AA26" i="9"/>
  <c r="AE27" i="9"/>
  <c r="AE26" i="9"/>
  <c r="AI27" i="9"/>
  <c r="AI26" i="9"/>
  <c r="AM27" i="9"/>
  <c r="AM26" i="9"/>
  <c r="AQ27" i="9"/>
  <c r="AQ26" i="9"/>
  <c r="AU27" i="9"/>
  <c r="AU26" i="9"/>
  <c r="C33" i="9"/>
  <c r="O35" i="9"/>
  <c r="O34" i="9"/>
  <c r="S35" i="9"/>
  <c r="S34" i="9"/>
  <c r="W35" i="9"/>
  <c r="W34" i="9"/>
  <c r="AA35" i="9"/>
  <c r="AA34" i="9"/>
  <c r="AE35" i="9"/>
  <c r="AE34" i="9"/>
  <c r="AI35" i="9"/>
  <c r="AI34" i="9"/>
  <c r="AM35" i="9"/>
  <c r="AM34" i="9"/>
  <c r="AQ35" i="9"/>
  <c r="AQ34" i="9"/>
  <c r="AU35" i="9"/>
  <c r="AU34" i="9"/>
  <c r="BE31" i="9"/>
  <c r="BD31" i="9"/>
  <c r="BF31" i="9" s="1"/>
  <c r="BE32" i="9"/>
  <c r="BD32" i="9"/>
  <c r="BF32" i="9" s="1"/>
  <c r="BE38" i="9"/>
  <c r="BD38" i="9"/>
  <c r="C44" i="9"/>
  <c r="O44" i="9"/>
  <c r="S44" i="9"/>
  <c r="W44" i="9"/>
  <c r="AA44" i="9"/>
  <c r="AE44" i="9"/>
  <c r="AI44" i="9"/>
  <c r="AM44" i="9"/>
  <c r="AQ44" i="9"/>
  <c r="AU44" i="9"/>
  <c r="AY40" i="9"/>
  <c r="AY41" i="9"/>
  <c r="BE42" i="9"/>
  <c r="BD42" i="9"/>
  <c r="BF42" i="9" s="1"/>
  <c r="BE43" i="9"/>
  <c r="BD43" i="9"/>
  <c r="BF43" i="9" s="1"/>
  <c r="BE53" i="9"/>
  <c r="BD53" i="9"/>
  <c r="BE54" i="9"/>
  <c r="BD54" i="9"/>
  <c r="BF54" i="9" s="1"/>
  <c r="BE55" i="9"/>
  <c r="BD55" i="9"/>
  <c r="BF55" i="9" s="1"/>
  <c r="BE56" i="9"/>
  <c r="BD56" i="9"/>
  <c r="BF56" i="9" s="1"/>
  <c r="BE57" i="9"/>
  <c r="BD57" i="9"/>
  <c r="BF57" i="9" s="1"/>
  <c r="BE58" i="9"/>
  <c r="BD58" i="9"/>
  <c r="BF58" i="9" s="1"/>
  <c r="BE59" i="9"/>
  <c r="BD59" i="9"/>
  <c r="BF59" i="9" s="1"/>
  <c r="BE60" i="9"/>
  <c r="BD60" i="9"/>
  <c r="BF60" i="9" s="1"/>
  <c r="BE61" i="9"/>
  <c r="BD61" i="9"/>
  <c r="BF61" i="9" s="1"/>
  <c r="BE62" i="9"/>
  <c r="BD62" i="9"/>
  <c r="BF62" i="9" s="1"/>
  <c r="BE65" i="9"/>
  <c r="BD65" i="9"/>
  <c r="BF65" i="9" s="1"/>
  <c r="BE66" i="9"/>
  <c r="BD66" i="9"/>
  <c r="BF66" i="9" s="1"/>
  <c r="BE67" i="9"/>
  <c r="BD67" i="9"/>
  <c r="BF67" i="9" s="1"/>
  <c r="BE68" i="9"/>
  <c r="BD68" i="9"/>
  <c r="BF68" i="9" s="1"/>
  <c r="BE69" i="9"/>
  <c r="BD69" i="9"/>
  <c r="BF69" i="9" s="1"/>
  <c r="BE70" i="9"/>
  <c r="BD70" i="9"/>
  <c r="BF70" i="9" s="1"/>
  <c r="C76" i="9"/>
  <c r="U5" i="8"/>
  <c r="T5" i="8"/>
  <c r="U6" i="8"/>
  <c r="T6" i="8"/>
  <c r="V6" i="8" s="1"/>
  <c r="U7" i="8"/>
  <c r="T7" i="8"/>
  <c r="V7" i="8" s="1"/>
  <c r="U8" i="8"/>
  <c r="T8" i="8"/>
  <c r="V8" i="8" s="1"/>
  <c r="U14" i="8"/>
  <c r="T14" i="8"/>
  <c r="V14" i="8" s="1"/>
  <c r="U15" i="8"/>
  <c r="T15" i="8"/>
  <c r="V15" i="8" s="1"/>
  <c r="U16" i="8"/>
  <c r="T16" i="8"/>
  <c r="V16" i="8" s="1"/>
  <c r="U17" i="8"/>
  <c r="T17" i="8"/>
  <c r="V17" i="8" s="1"/>
  <c r="P25" i="8"/>
  <c r="U23" i="8"/>
  <c r="T23" i="8"/>
  <c r="U24" i="8"/>
  <c r="T24" i="8"/>
  <c r="V24" i="8" s="1"/>
  <c r="U31" i="8"/>
  <c r="T31" i="8"/>
  <c r="V31" i="8" s="1"/>
  <c r="U32" i="8"/>
  <c r="T32" i="8"/>
  <c r="V32" i="8" s="1"/>
  <c r="U38" i="8"/>
  <c r="T38" i="8"/>
  <c r="U42" i="8"/>
  <c r="T42" i="8"/>
  <c r="V42" i="8" s="1"/>
  <c r="U43" i="8"/>
  <c r="T43" i="8"/>
  <c r="V43" i="8" s="1"/>
  <c r="U53" i="8"/>
  <c r="T53" i="8"/>
  <c r="U54" i="8"/>
  <c r="T54" i="8"/>
  <c r="V54" i="8" s="1"/>
  <c r="U55" i="8"/>
  <c r="T55" i="8"/>
  <c r="V55" i="8" s="1"/>
  <c r="U56" i="8"/>
  <c r="T56" i="8"/>
  <c r="V56" i="8" s="1"/>
  <c r="U57" i="8"/>
  <c r="T57" i="8"/>
  <c r="V57" i="8" s="1"/>
  <c r="U58" i="8"/>
  <c r="T58" i="8"/>
  <c r="V58" i="8" s="1"/>
  <c r="U59" i="8"/>
  <c r="T59" i="8"/>
  <c r="V59" i="8" s="1"/>
  <c r="U60" i="8"/>
  <c r="T60" i="8"/>
  <c r="V60" i="8" s="1"/>
  <c r="U61" i="8"/>
  <c r="T61" i="8"/>
  <c r="V61" i="8" s="1"/>
  <c r="U62" i="8"/>
  <c r="T62" i="8"/>
  <c r="V62" i="8" s="1"/>
  <c r="U65" i="8"/>
  <c r="T65" i="8"/>
  <c r="V65" i="8" s="1"/>
  <c r="U66" i="8"/>
  <c r="T66" i="8"/>
  <c r="V66" i="8" s="1"/>
  <c r="U67" i="8"/>
  <c r="T67" i="8"/>
  <c r="V67" i="8" s="1"/>
  <c r="U68" i="8"/>
  <c r="T68" i="8"/>
  <c r="V68" i="8" s="1"/>
  <c r="U69" i="8"/>
  <c r="T69" i="8"/>
  <c r="V69" i="8" s="1"/>
  <c r="U70" i="8"/>
  <c r="T70" i="8"/>
  <c r="V70" i="8" s="1"/>
  <c r="P9" i="8"/>
  <c r="P27" i="8"/>
  <c r="P26" i="8"/>
  <c r="C18" i="8"/>
  <c r="P13" i="8"/>
  <c r="D20" i="8"/>
  <c r="D19" i="8"/>
  <c r="E20" i="8"/>
  <c r="E19" i="8"/>
  <c r="F20" i="8"/>
  <c r="F19" i="8"/>
  <c r="G20" i="8"/>
  <c r="G19" i="8"/>
  <c r="H20" i="8"/>
  <c r="H19" i="8"/>
  <c r="I20" i="8"/>
  <c r="I19" i="8"/>
  <c r="J20" i="8"/>
  <c r="J19" i="8"/>
  <c r="K20" i="8"/>
  <c r="K19" i="8"/>
  <c r="L20" i="8"/>
  <c r="L19" i="8"/>
  <c r="M20" i="8"/>
  <c r="M19" i="8"/>
  <c r="N20" i="8"/>
  <c r="N19" i="8"/>
  <c r="O20" i="8"/>
  <c r="O19" i="8"/>
  <c r="O27" i="8"/>
  <c r="O26" i="8"/>
  <c r="C27" i="8"/>
  <c r="C26" i="8"/>
  <c r="D27" i="8"/>
  <c r="D26" i="8"/>
  <c r="E27" i="8"/>
  <c r="E26" i="8"/>
  <c r="F27" i="8"/>
  <c r="F26" i="8"/>
  <c r="G27" i="8"/>
  <c r="G26" i="8"/>
  <c r="H27" i="8"/>
  <c r="H26" i="8"/>
  <c r="I27" i="8"/>
  <c r="I26" i="8"/>
  <c r="J27" i="8"/>
  <c r="J26" i="8"/>
  <c r="K27" i="8"/>
  <c r="K26" i="8"/>
  <c r="L27" i="8"/>
  <c r="L26" i="8"/>
  <c r="M27" i="8"/>
  <c r="M26" i="8"/>
  <c r="N27" i="8"/>
  <c r="N26" i="8"/>
  <c r="C33" i="8"/>
  <c r="P30" i="8"/>
  <c r="D35" i="8"/>
  <c r="D34" i="8"/>
  <c r="E35" i="8"/>
  <c r="E34" i="8"/>
  <c r="F35" i="8"/>
  <c r="F34" i="8"/>
  <c r="G35" i="8"/>
  <c r="G34" i="8"/>
  <c r="H35" i="8"/>
  <c r="H34" i="8"/>
  <c r="I35" i="8"/>
  <c r="I34" i="8"/>
  <c r="J35" i="8"/>
  <c r="J34" i="8"/>
  <c r="K35" i="8"/>
  <c r="K34" i="8"/>
  <c r="L35" i="8"/>
  <c r="L34" i="8"/>
  <c r="M35" i="8"/>
  <c r="M34" i="8"/>
  <c r="N35" i="8"/>
  <c r="N34" i="8"/>
  <c r="C63" i="8"/>
  <c r="C44" i="8"/>
  <c r="P39" i="8"/>
  <c r="D63" i="8"/>
  <c r="D71" i="8" s="1"/>
  <c r="D44" i="8"/>
  <c r="E63" i="8"/>
  <c r="E71" i="8" s="1"/>
  <c r="E44" i="8"/>
  <c r="F63" i="8"/>
  <c r="F71" i="8" s="1"/>
  <c r="F44" i="8"/>
  <c r="G63" i="8"/>
  <c r="G71" i="8" s="1"/>
  <c r="G44" i="8"/>
  <c r="H63" i="8"/>
  <c r="H71" i="8" s="1"/>
  <c r="H44" i="8"/>
  <c r="I63" i="8"/>
  <c r="I71" i="8" s="1"/>
  <c r="I44" i="8"/>
  <c r="J63" i="8"/>
  <c r="J71" i="8" s="1"/>
  <c r="J44" i="8"/>
  <c r="K63" i="8"/>
  <c r="K71" i="8" s="1"/>
  <c r="K44" i="8"/>
  <c r="L63" i="8"/>
  <c r="L71" i="8" s="1"/>
  <c r="L44" i="8"/>
  <c r="M63" i="8"/>
  <c r="M71" i="8" s="1"/>
  <c r="M44" i="8"/>
  <c r="N63" i="8"/>
  <c r="N71" i="8" s="1"/>
  <c r="N44" i="8"/>
  <c r="P40" i="8"/>
  <c r="O40" i="8"/>
  <c r="P41" i="8"/>
  <c r="O41" i="8"/>
  <c r="C76" i="8"/>
  <c r="O73" i="8"/>
  <c r="O76" i="8" s="1"/>
  <c r="P20" i="7"/>
  <c r="P19" i="7"/>
  <c r="P9" i="7"/>
  <c r="P27" i="7"/>
  <c r="P26" i="7"/>
  <c r="C20" i="7"/>
  <c r="C19" i="7"/>
  <c r="D20" i="7"/>
  <c r="D19" i="7"/>
  <c r="E20" i="7"/>
  <c r="E19" i="7"/>
  <c r="F20" i="7"/>
  <c r="F19" i="7"/>
  <c r="G20" i="7"/>
  <c r="G19" i="7"/>
  <c r="H20" i="7"/>
  <c r="H19" i="7"/>
  <c r="I20" i="7"/>
  <c r="I19" i="7"/>
  <c r="J20" i="7"/>
  <c r="J19" i="7"/>
  <c r="K20" i="7"/>
  <c r="K19" i="7"/>
  <c r="L20" i="7"/>
  <c r="L19" i="7"/>
  <c r="M20" i="7"/>
  <c r="M19" i="7"/>
  <c r="N20" i="7"/>
  <c r="N19" i="7"/>
  <c r="O20" i="7"/>
  <c r="O19" i="7"/>
  <c r="O27" i="7"/>
  <c r="O26" i="7"/>
  <c r="C27" i="7"/>
  <c r="C26" i="7"/>
  <c r="D27" i="7"/>
  <c r="D26" i="7"/>
  <c r="E27" i="7"/>
  <c r="E26" i="7"/>
  <c r="F27" i="7"/>
  <c r="F26" i="7"/>
  <c r="G27" i="7"/>
  <c r="G26" i="7"/>
  <c r="H27" i="7"/>
  <c r="H26" i="7"/>
  <c r="I27" i="7"/>
  <c r="I26" i="7"/>
  <c r="J27" i="7"/>
  <c r="J26" i="7"/>
  <c r="K27" i="7"/>
  <c r="K26" i="7"/>
  <c r="L27" i="7"/>
  <c r="L26" i="7"/>
  <c r="M27" i="7"/>
  <c r="M26" i="7"/>
  <c r="N27" i="7"/>
  <c r="N26" i="7"/>
  <c r="C33" i="7"/>
  <c r="P32" i="7"/>
  <c r="P33" i="7" s="1"/>
  <c r="D35" i="7"/>
  <c r="D34" i="7"/>
  <c r="E35" i="7"/>
  <c r="E34" i="7"/>
  <c r="F35" i="7"/>
  <c r="F34" i="7"/>
  <c r="G35" i="7"/>
  <c r="G34" i="7"/>
  <c r="H35" i="7"/>
  <c r="H34" i="7"/>
  <c r="I35" i="7"/>
  <c r="I34" i="7"/>
  <c r="J35" i="7"/>
  <c r="J34" i="7"/>
  <c r="K35" i="7"/>
  <c r="K34" i="7"/>
  <c r="L35" i="7"/>
  <c r="L34" i="7"/>
  <c r="M35" i="7"/>
  <c r="M34" i="7"/>
  <c r="N35" i="7"/>
  <c r="N34" i="7"/>
  <c r="C63" i="7"/>
  <c r="C44" i="7"/>
  <c r="C46" i="7" s="1"/>
  <c r="P39" i="7"/>
  <c r="D63" i="7"/>
  <c r="D71" i="7" s="1"/>
  <c r="D44" i="7"/>
  <c r="D46" i="7" s="1"/>
  <c r="E63" i="7"/>
  <c r="E71" i="7" s="1"/>
  <c r="E44" i="7"/>
  <c r="F63" i="7"/>
  <c r="F71" i="7" s="1"/>
  <c r="F44" i="7"/>
  <c r="G63" i="7"/>
  <c r="G71" i="7" s="1"/>
  <c r="G44" i="7"/>
  <c r="H63" i="7"/>
  <c r="H71" i="7" s="1"/>
  <c r="H44" i="7"/>
  <c r="I63" i="7"/>
  <c r="I71" i="7" s="1"/>
  <c r="I44" i="7"/>
  <c r="J63" i="7"/>
  <c r="J71" i="7" s="1"/>
  <c r="J44" i="7"/>
  <c r="K63" i="7"/>
  <c r="K71" i="7" s="1"/>
  <c r="K44" i="7"/>
  <c r="L63" i="7"/>
  <c r="L71" i="7" s="1"/>
  <c r="L44" i="7"/>
  <c r="M63" i="7"/>
  <c r="M71" i="7" s="1"/>
  <c r="M44" i="7"/>
  <c r="N63" i="7"/>
  <c r="N71" i="7" s="1"/>
  <c r="N44" i="7"/>
  <c r="P40" i="7"/>
  <c r="O40" i="7"/>
  <c r="P41" i="7"/>
  <c r="O41" i="7"/>
  <c r="C76" i="7"/>
  <c r="O73" i="7"/>
  <c r="O76" i="7" s="1"/>
  <c r="D19" i="6"/>
  <c r="D20" i="6"/>
  <c r="D48" i="6"/>
  <c r="E20" i="6"/>
  <c r="E19" i="6"/>
  <c r="E48" i="6"/>
  <c r="E46" i="6"/>
  <c r="E45" i="6"/>
  <c r="E49" i="6"/>
  <c r="N45" i="6"/>
  <c r="N46" i="6"/>
  <c r="F20" i="6"/>
  <c r="F19" i="6"/>
  <c r="K35" i="6"/>
  <c r="K34" i="6"/>
  <c r="I49" i="6"/>
  <c r="G20" i="6"/>
  <c r="G48" i="6"/>
  <c r="G49" i="6" s="1"/>
  <c r="G19" i="6"/>
  <c r="O27" i="6"/>
  <c r="O26" i="6"/>
  <c r="L35" i="6"/>
  <c r="L34" i="6"/>
  <c r="F10" i="6"/>
  <c r="F77" i="6"/>
  <c r="F80" i="6"/>
  <c r="J49" i="6"/>
  <c r="H20" i="6"/>
  <c r="H19" i="6"/>
  <c r="M35" i="6"/>
  <c r="M34" i="6"/>
  <c r="G77" i="6"/>
  <c r="G80" i="6"/>
  <c r="G10" i="6"/>
  <c r="P20" i="6"/>
  <c r="K49" i="6"/>
  <c r="I48" i="6"/>
  <c r="I19" i="6"/>
  <c r="I20" i="6"/>
  <c r="N34" i="6"/>
  <c r="N35" i="6"/>
  <c r="H77" i="6"/>
  <c r="H80" i="6"/>
  <c r="H10" i="6"/>
  <c r="J48" i="6"/>
  <c r="J19" i="6"/>
  <c r="J20" i="6"/>
  <c r="C34" i="6"/>
  <c r="C35" i="6"/>
  <c r="I46" i="6"/>
  <c r="I45" i="6"/>
  <c r="P35" i="6"/>
  <c r="M49" i="6"/>
  <c r="K48" i="6"/>
  <c r="K19" i="6"/>
  <c r="K20" i="6"/>
  <c r="D34" i="6"/>
  <c r="D35" i="6"/>
  <c r="J46" i="6"/>
  <c r="J45" i="6"/>
  <c r="N49" i="6"/>
  <c r="L20" i="6"/>
  <c r="L19" i="6"/>
  <c r="L48" i="6"/>
  <c r="L49" i="6" s="1"/>
  <c r="K46" i="6"/>
  <c r="K45" i="6"/>
  <c r="C49" i="6"/>
  <c r="L80" i="6"/>
  <c r="L10" i="6"/>
  <c r="L77" i="6"/>
  <c r="L46" i="6"/>
  <c r="L45" i="6"/>
  <c r="D49" i="6"/>
  <c r="M46" i="6"/>
  <c r="M45" i="6"/>
  <c r="N20" i="6"/>
  <c r="N48" i="6"/>
  <c r="N19" i="6"/>
  <c r="I35" i="6"/>
  <c r="I34" i="6"/>
  <c r="G35" i="6"/>
  <c r="G34" i="6"/>
  <c r="C45" i="6"/>
  <c r="C46" i="6"/>
  <c r="C19" i="6"/>
  <c r="C20" i="6"/>
  <c r="C48" i="6"/>
  <c r="F35" i="6"/>
  <c r="F34" i="6"/>
  <c r="J35" i="6"/>
  <c r="J34" i="6"/>
  <c r="H34" i="6"/>
  <c r="H35" i="6"/>
  <c r="D46" i="6"/>
  <c r="D45" i="6"/>
  <c r="O80" i="6"/>
  <c r="O10" i="6"/>
  <c r="O77" i="6"/>
  <c r="F44" i="6"/>
  <c r="F48" i="6" s="1"/>
  <c r="F49" i="6" s="1"/>
  <c r="I63" i="6"/>
  <c r="I71" i="6" s="1"/>
  <c r="E34" i="6"/>
  <c r="M19" i="6"/>
  <c r="D26" i="6"/>
  <c r="G44" i="6"/>
  <c r="M48" i="6"/>
  <c r="J63" i="6"/>
  <c r="J71" i="6" s="1"/>
  <c r="H44" i="6"/>
  <c r="K63" i="6"/>
  <c r="K71" i="6" s="1"/>
  <c r="C76" i="6"/>
  <c r="M63" i="6"/>
  <c r="M71" i="6" s="1"/>
  <c r="N63" i="6"/>
  <c r="N71" i="6" s="1"/>
  <c r="E26" i="6"/>
  <c r="P39" i="6"/>
  <c r="P44" i="6" s="1"/>
  <c r="P19" i="6"/>
  <c r="O40" i="6"/>
  <c r="P30" i="6"/>
  <c r="P33" i="6" s="1"/>
  <c r="P34" i="6" s="1"/>
  <c r="P9" i="6"/>
  <c r="H26" i="6"/>
  <c r="O41" i="6"/>
  <c r="I26" i="6"/>
  <c r="C63" i="6"/>
  <c r="J26" i="6"/>
  <c r="D63" i="6"/>
  <c r="D71" i="6" s="1"/>
  <c r="E63" i="6"/>
  <c r="E71" i="6" s="1"/>
  <c r="BA78" i="9" l="1"/>
  <c r="BA79" i="9" s="1"/>
  <c r="BA81" i="9"/>
  <c r="O10" i="11"/>
  <c r="O80" i="11"/>
  <c r="O77" i="11"/>
  <c r="O44" i="11"/>
  <c r="N46" i="11"/>
  <c r="N45" i="11"/>
  <c r="N48" i="11"/>
  <c r="N49" i="11" s="1"/>
  <c r="N80" i="11"/>
  <c r="N77" i="11"/>
  <c r="N10" i="11"/>
  <c r="M46" i="11"/>
  <c r="M45" i="11"/>
  <c r="M48" i="11"/>
  <c r="M49" i="11" s="1"/>
  <c r="M80" i="11"/>
  <c r="M77" i="11"/>
  <c r="M10" i="11"/>
  <c r="L46" i="11"/>
  <c r="L45" i="11"/>
  <c r="L48" i="11"/>
  <c r="L49" i="11" s="1"/>
  <c r="L80" i="11"/>
  <c r="L77" i="11"/>
  <c r="L10" i="11"/>
  <c r="K46" i="11"/>
  <c r="K45" i="11"/>
  <c r="K48" i="11"/>
  <c r="K49" i="11" s="1"/>
  <c r="K80" i="11"/>
  <c r="K77" i="11"/>
  <c r="K10" i="11"/>
  <c r="J46" i="11"/>
  <c r="J45" i="11"/>
  <c r="J48" i="11"/>
  <c r="J49" i="11" s="1"/>
  <c r="J80" i="11"/>
  <c r="J77" i="11"/>
  <c r="J10" i="11"/>
  <c r="I46" i="11"/>
  <c r="I45" i="11"/>
  <c r="I48" i="11"/>
  <c r="I49" i="11" s="1"/>
  <c r="I80" i="11"/>
  <c r="I77" i="11"/>
  <c r="I10" i="11"/>
  <c r="H46" i="11"/>
  <c r="H45" i="11"/>
  <c r="H48" i="11"/>
  <c r="H49" i="11" s="1"/>
  <c r="H80" i="11"/>
  <c r="H77" i="11"/>
  <c r="H10" i="11"/>
  <c r="G46" i="11"/>
  <c r="G45" i="11"/>
  <c r="G48" i="11"/>
  <c r="G49" i="11" s="1"/>
  <c r="G80" i="11"/>
  <c r="G77" i="11"/>
  <c r="G10" i="11"/>
  <c r="F46" i="11"/>
  <c r="F45" i="11"/>
  <c r="F48" i="11"/>
  <c r="F49" i="11" s="1"/>
  <c r="F80" i="11"/>
  <c r="F77" i="11"/>
  <c r="F10" i="11"/>
  <c r="E46" i="11"/>
  <c r="E45" i="11"/>
  <c r="E48" i="11"/>
  <c r="E49" i="11" s="1"/>
  <c r="E80" i="11"/>
  <c r="E77" i="11"/>
  <c r="E10" i="11"/>
  <c r="D46" i="11"/>
  <c r="D45" i="11"/>
  <c r="D48" i="11"/>
  <c r="D49" i="11" s="1"/>
  <c r="D80" i="11"/>
  <c r="D77" i="11"/>
  <c r="D10" i="11"/>
  <c r="P44" i="11"/>
  <c r="C46" i="11"/>
  <c r="C45" i="11"/>
  <c r="C71" i="11"/>
  <c r="P63" i="11"/>
  <c r="P71" i="11" s="1"/>
  <c r="P35" i="11"/>
  <c r="P34" i="11"/>
  <c r="C35" i="11"/>
  <c r="C34" i="11"/>
  <c r="P48" i="11"/>
  <c r="P20" i="11"/>
  <c r="P19" i="11"/>
  <c r="C48" i="11"/>
  <c r="C49" i="11" s="1"/>
  <c r="C20" i="11"/>
  <c r="C19" i="11"/>
  <c r="P49" i="11"/>
  <c r="BF53" i="9"/>
  <c r="BE41" i="9"/>
  <c r="BD41" i="9"/>
  <c r="BF41" i="9" s="1"/>
  <c r="AY44" i="9"/>
  <c r="BE40" i="9"/>
  <c r="BD40" i="9"/>
  <c r="BF40" i="9" s="1"/>
  <c r="AU46" i="9"/>
  <c r="AU45" i="9"/>
  <c r="AU48" i="9"/>
  <c r="AU49" i="9" s="1"/>
  <c r="AQ46" i="9"/>
  <c r="AQ45" i="9"/>
  <c r="AQ48" i="9"/>
  <c r="AQ49" i="9" s="1"/>
  <c r="AM46" i="9"/>
  <c r="AM45" i="9"/>
  <c r="AM48" i="9"/>
  <c r="AM49" i="9" s="1"/>
  <c r="AI46" i="9"/>
  <c r="AI45" i="9"/>
  <c r="AI48" i="9"/>
  <c r="AI49" i="9" s="1"/>
  <c r="AE46" i="9"/>
  <c r="AE45" i="9"/>
  <c r="AE48" i="9"/>
  <c r="AE49" i="9" s="1"/>
  <c r="AA46" i="9"/>
  <c r="AA45" i="9"/>
  <c r="AA48" i="9"/>
  <c r="AA49" i="9" s="1"/>
  <c r="W46" i="9"/>
  <c r="W45" i="9"/>
  <c r="W48" i="9"/>
  <c r="W49" i="9" s="1"/>
  <c r="S46" i="9"/>
  <c r="S45" i="9"/>
  <c r="S48" i="9"/>
  <c r="S49" i="9" s="1"/>
  <c r="O46" i="9"/>
  <c r="O45" i="9"/>
  <c r="O48" i="9"/>
  <c r="O49" i="9" s="1"/>
  <c r="BE39" i="9"/>
  <c r="BD39" i="9"/>
  <c r="BF39" i="9" s="1"/>
  <c r="AZ44" i="9"/>
  <c r="C46" i="9"/>
  <c r="C45" i="9"/>
  <c r="C71" i="9"/>
  <c r="BD44" i="9"/>
  <c r="BF38" i="9"/>
  <c r="BF44" i="9" s="1"/>
  <c r="BE44" i="9"/>
  <c r="AZ33" i="9"/>
  <c r="BE30" i="9"/>
  <c r="BE33" i="9" s="1"/>
  <c r="BD30" i="9"/>
  <c r="C35" i="9"/>
  <c r="C34" i="9"/>
  <c r="BD25" i="9"/>
  <c r="BF23" i="9"/>
  <c r="BF25" i="9" s="1"/>
  <c r="BE25" i="9"/>
  <c r="AZ27" i="9"/>
  <c r="AZ26" i="9"/>
  <c r="AZ18" i="9"/>
  <c r="BE13" i="9"/>
  <c r="BE18" i="9" s="1"/>
  <c r="BE48" i="9" s="1"/>
  <c r="BD13" i="9"/>
  <c r="C48" i="9"/>
  <c r="C49" i="9" s="1"/>
  <c r="C20" i="9"/>
  <c r="C19" i="9"/>
  <c r="BD46" i="9"/>
  <c r="BD45" i="9"/>
  <c r="BF8" i="9"/>
  <c r="BE46" i="9"/>
  <c r="BE45" i="9"/>
  <c r="BF7" i="9"/>
  <c r="BE35" i="9"/>
  <c r="BE34" i="9"/>
  <c r="BD27" i="9"/>
  <c r="BD26" i="9"/>
  <c r="BF6" i="9"/>
  <c r="BE27" i="9"/>
  <c r="BE26" i="9"/>
  <c r="BD9" i="9"/>
  <c r="BF5" i="9"/>
  <c r="BE20" i="9"/>
  <c r="BE19" i="9"/>
  <c r="BE9" i="9"/>
  <c r="BE49" i="9" s="1"/>
  <c r="U41" i="8"/>
  <c r="T41" i="8"/>
  <c r="V41" i="8" s="1"/>
  <c r="U40" i="8"/>
  <c r="T40" i="8"/>
  <c r="V40" i="8" s="1"/>
  <c r="U39" i="8"/>
  <c r="T39" i="8"/>
  <c r="V39" i="8" s="1"/>
  <c r="P33" i="8"/>
  <c r="U30" i="8"/>
  <c r="U33" i="8" s="1"/>
  <c r="T30" i="8"/>
  <c r="P18" i="8"/>
  <c r="U13" i="8"/>
  <c r="U18" i="8" s="1"/>
  <c r="T13" i="8"/>
  <c r="V53" i="8"/>
  <c r="V38" i="8"/>
  <c r="V44" i="8" s="1"/>
  <c r="T44" i="8"/>
  <c r="U44" i="8"/>
  <c r="V23" i="8"/>
  <c r="V25" i="8" s="1"/>
  <c r="T25" i="8"/>
  <c r="U25" i="8"/>
  <c r="V45" i="8"/>
  <c r="V46" i="8"/>
  <c r="U45" i="8"/>
  <c r="U46" i="8"/>
  <c r="U34" i="8"/>
  <c r="U35" i="8"/>
  <c r="V26" i="8"/>
  <c r="V27" i="8"/>
  <c r="U26" i="8"/>
  <c r="U27" i="8"/>
  <c r="V5" i="8"/>
  <c r="T9" i="8"/>
  <c r="U19" i="8"/>
  <c r="U20" i="8"/>
  <c r="U9" i="8"/>
  <c r="O10" i="8"/>
  <c r="O80" i="8"/>
  <c r="O77" i="8"/>
  <c r="O44" i="8"/>
  <c r="N46" i="8"/>
  <c r="N45" i="8"/>
  <c r="N48" i="8"/>
  <c r="N49" i="8" s="1"/>
  <c r="N80" i="8"/>
  <c r="N77" i="8"/>
  <c r="N10" i="8"/>
  <c r="M46" i="8"/>
  <c r="M45" i="8"/>
  <c r="M48" i="8"/>
  <c r="M49" i="8" s="1"/>
  <c r="M80" i="8"/>
  <c r="M77" i="8"/>
  <c r="M10" i="8"/>
  <c r="L46" i="8"/>
  <c r="L45" i="8"/>
  <c r="L48" i="8"/>
  <c r="L49" i="8" s="1"/>
  <c r="L80" i="8"/>
  <c r="L77" i="8"/>
  <c r="L10" i="8"/>
  <c r="K46" i="8"/>
  <c r="K45" i="8"/>
  <c r="K48" i="8"/>
  <c r="K49" i="8" s="1"/>
  <c r="K80" i="8"/>
  <c r="K77" i="8"/>
  <c r="K10" i="8"/>
  <c r="J46" i="8"/>
  <c r="J45" i="8"/>
  <c r="J48" i="8"/>
  <c r="J49" i="8" s="1"/>
  <c r="J80" i="8"/>
  <c r="J77" i="8"/>
  <c r="J10" i="8"/>
  <c r="I46" i="8"/>
  <c r="I45" i="8"/>
  <c r="I48" i="8"/>
  <c r="I49" i="8" s="1"/>
  <c r="I80" i="8"/>
  <c r="I77" i="8"/>
  <c r="I10" i="8"/>
  <c r="H46" i="8"/>
  <c r="H45" i="8"/>
  <c r="H48" i="8"/>
  <c r="H49" i="8" s="1"/>
  <c r="H80" i="8"/>
  <c r="H77" i="8"/>
  <c r="H10" i="8"/>
  <c r="G46" i="8"/>
  <c r="G45" i="8"/>
  <c r="G48" i="8"/>
  <c r="G49" i="8" s="1"/>
  <c r="G80" i="8"/>
  <c r="G77" i="8"/>
  <c r="G10" i="8"/>
  <c r="F46" i="8"/>
  <c r="F45" i="8"/>
  <c r="F48" i="8"/>
  <c r="F49" i="8" s="1"/>
  <c r="F80" i="8"/>
  <c r="F77" i="8"/>
  <c r="F10" i="8"/>
  <c r="E46" i="8"/>
  <c r="E45" i="8"/>
  <c r="E48" i="8"/>
  <c r="E49" i="8" s="1"/>
  <c r="E80" i="8"/>
  <c r="E77" i="8"/>
  <c r="E10" i="8"/>
  <c r="D46" i="8"/>
  <c r="D45" i="8"/>
  <c r="D48" i="8"/>
  <c r="D49" i="8" s="1"/>
  <c r="D80" i="8"/>
  <c r="D77" i="8"/>
  <c r="D10" i="8"/>
  <c r="P44" i="8"/>
  <c r="C46" i="8"/>
  <c r="C45" i="8"/>
  <c r="C71" i="8"/>
  <c r="P63" i="8"/>
  <c r="P35" i="8"/>
  <c r="P34" i="8"/>
  <c r="C35" i="8"/>
  <c r="C34" i="8"/>
  <c r="P48" i="8"/>
  <c r="P20" i="8"/>
  <c r="P19" i="8"/>
  <c r="C48" i="8"/>
  <c r="C49" i="8" s="1"/>
  <c r="C20" i="8"/>
  <c r="C19" i="8"/>
  <c r="P49" i="8"/>
  <c r="O10" i="7"/>
  <c r="O80" i="7"/>
  <c r="O77" i="7"/>
  <c r="O44" i="7"/>
  <c r="N46" i="7"/>
  <c r="N45" i="7"/>
  <c r="N48" i="7"/>
  <c r="N49" i="7" s="1"/>
  <c r="N80" i="7"/>
  <c r="N77" i="7"/>
  <c r="N10" i="7"/>
  <c r="M46" i="7"/>
  <c r="M45" i="7"/>
  <c r="M48" i="7"/>
  <c r="M49" i="7" s="1"/>
  <c r="M80" i="7"/>
  <c r="M77" i="7"/>
  <c r="M10" i="7"/>
  <c r="L46" i="7"/>
  <c r="L45" i="7"/>
  <c r="L48" i="7"/>
  <c r="L49" i="7" s="1"/>
  <c r="L80" i="7"/>
  <c r="L77" i="7"/>
  <c r="L10" i="7"/>
  <c r="K46" i="7"/>
  <c r="K45" i="7"/>
  <c r="K48" i="7"/>
  <c r="K49" i="7" s="1"/>
  <c r="K80" i="7"/>
  <c r="K77" i="7"/>
  <c r="K10" i="7"/>
  <c r="J46" i="7"/>
  <c r="J45" i="7"/>
  <c r="J48" i="7"/>
  <c r="J49" i="7" s="1"/>
  <c r="J80" i="7"/>
  <c r="J77" i="7"/>
  <c r="J10" i="7"/>
  <c r="I46" i="7"/>
  <c r="I45" i="7"/>
  <c r="I48" i="7"/>
  <c r="I49" i="7" s="1"/>
  <c r="I80" i="7"/>
  <c r="I77" i="7"/>
  <c r="I10" i="7"/>
  <c r="H46" i="7"/>
  <c r="H45" i="7"/>
  <c r="H48" i="7"/>
  <c r="H49" i="7" s="1"/>
  <c r="H80" i="7"/>
  <c r="H77" i="7"/>
  <c r="H10" i="7"/>
  <c r="G46" i="7"/>
  <c r="G45" i="7"/>
  <c r="G48" i="7"/>
  <c r="G49" i="7" s="1"/>
  <c r="G80" i="7"/>
  <c r="G77" i="7"/>
  <c r="G10" i="7"/>
  <c r="F46" i="7"/>
  <c r="F45" i="7"/>
  <c r="F48" i="7"/>
  <c r="F49" i="7" s="1"/>
  <c r="F80" i="7"/>
  <c r="F77" i="7"/>
  <c r="F10" i="7"/>
  <c r="E46" i="7"/>
  <c r="E45" i="7"/>
  <c r="E48" i="7"/>
  <c r="E49" i="7" s="1"/>
  <c r="E80" i="7"/>
  <c r="E77" i="7"/>
  <c r="E10" i="7"/>
  <c r="D45" i="7"/>
  <c r="D48" i="7"/>
  <c r="D49" i="7" s="1"/>
  <c r="D80" i="7"/>
  <c r="D77" i="7"/>
  <c r="D10" i="7"/>
  <c r="P44" i="7"/>
  <c r="C45" i="7"/>
  <c r="C71" i="7"/>
  <c r="P63" i="7"/>
  <c r="P71" i="7" s="1"/>
  <c r="P35" i="7"/>
  <c r="P34" i="7"/>
  <c r="P48" i="7"/>
  <c r="C35" i="7"/>
  <c r="C34" i="7"/>
  <c r="C48" i="7"/>
  <c r="C49" i="7" s="1"/>
  <c r="P49" i="7"/>
  <c r="G50" i="6"/>
  <c r="G78" i="6"/>
  <c r="G79" i="6" s="1"/>
  <c r="P45" i="6"/>
  <c r="P46" i="6"/>
  <c r="L50" i="6"/>
  <c r="L78" i="6"/>
  <c r="L79" i="6" s="1"/>
  <c r="F50" i="6"/>
  <c r="F78" i="6"/>
  <c r="F79" i="6" s="1"/>
  <c r="H46" i="6"/>
  <c r="H45" i="6"/>
  <c r="K80" i="6"/>
  <c r="K10" i="6"/>
  <c r="K77" i="6"/>
  <c r="E50" i="6"/>
  <c r="E78" i="6"/>
  <c r="E79" i="6" s="1"/>
  <c r="I50" i="6"/>
  <c r="G46" i="6"/>
  <c r="G45" i="6"/>
  <c r="J50" i="6"/>
  <c r="J78" i="6"/>
  <c r="J79" i="6" s="1"/>
  <c r="K50" i="6"/>
  <c r="K78" i="6"/>
  <c r="K79" i="6" s="1"/>
  <c r="E10" i="6"/>
  <c r="E77" i="6"/>
  <c r="E80" i="6"/>
  <c r="D80" i="6"/>
  <c r="D10" i="6"/>
  <c r="D77" i="6"/>
  <c r="N80" i="6"/>
  <c r="N10" i="6"/>
  <c r="N77" i="6"/>
  <c r="I77" i="6"/>
  <c r="I78" i="6" s="1"/>
  <c r="I79" i="6" s="1"/>
  <c r="I80" i="6"/>
  <c r="I10" i="6"/>
  <c r="M50" i="6"/>
  <c r="J77" i="6"/>
  <c r="J80" i="6"/>
  <c r="J10" i="6"/>
  <c r="D50" i="6"/>
  <c r="D78" i="6"/>
  <c r="D79" i="6" s="1"/>
  <c r="N50" i="6"/>
  <c r="N78" i="6"/>
  <c r="N79" i="6" s="1"/>
  <c r="C71" i="6"/>
  <c r="P63" i="6"/>
  <c r="P71" i="6" s="1"/>
  <c r="H48" i="6"/>
  <c r="H49" i="6" s="1"/>
  <c r="O44" i="6"/>
  <c r="M80" i="6"/>
  <c r="M10" i="6"/>
  <c r="M77" i="6"/>
  <c r="M78" i="6" s="1"/>
  <c r="M79" i="6" s="1"/>
  <c r="C50" i="6"/>
  <c r="F46" i="6"/>
  <c r="F45" i="6"/>
  <c r="P48" i="6"/>
  <c r="P49" i="6" s="1"/>
  <c r="P50" i="11" l="1"/>
  <c r="C50" i="11"/>
  <c r="P80" i="11"/>
  <c r="P77" i="11"/>
  <c r="P78" i="11" s="1"/>
  <c r="P79" i="11" s="1"/>
  <c r="P10" i="11"/>
  <c r="C80" i="11"/>
  <c r="C77" i="11"/>
  <c r="C78" i="11" s="1"/>
  <c r="C79" i="11" s="1"/>
  <c r="C10" i="11"/>
  <c r="P46" i="11"/>
  <c r="P45" i="11"/>
  <c r="D78" i="11"/>
  <c r="D79" i="11" s="1"/>
  <c r="D50" i="11"/>
  <c r="E78" i="11"/>
  <c r="E79" i="11" s="1"/>
  <c r="E50" i="11"/>
  <c r="F78" i="11"/>
  <c r="F79" i="11" s="1"/>
  <c r="F50" i="11"/>
  <c r="G78" i="11"/>
  <c r="G79" i="11" s="1"/>
  <c r="G50" i="11"/>
  <c r="H78" i="11"/>
  <c r="H79" i="11" s="1"/>
  <c r="H50" i="11"/>
  <c r="I78" i="11"/>
  <c r="I79" i="11" s="1"/>
  <c r="I50" i="11"/>
  <c r="J78" i="11"/>
  <c r="J79" i="11" s="1"/>
  <c r="J50" i="11"/>
  <c r="K78" i="11"/>
  <c r="K79" i="11" s="1"/>
  <c r="K50" i="11"/>
  <c r="L78" i="11"/>
  <c r="L79" i="11" s="1"/>
  <c r="L50" i="11"/>
  <c r="M78" i="11"/>
  <c r="M79" i="11" s="1"/>
  <c r="M50" i="11"/>
  <c r="N78" i="11"/>
  <c r="N79" i="11" s="1"/>
  <c r="N50" i="11"/>
  <c r="O46" i="11"/>
  <c r="O45" i="11"/>
  <c r="O48" i="11"/>
  <c r="O49" i="11" s="1"/>
  <c r="G46" i="9"/>
  <c r="G48" i="9"/>
  <c r="G49" i="9" s="1"/>
  <c r="BE50" i="9"/>
  <c r="BF9" i="9"/>
  <c r="BG5" i="9"/>
  <c r="BF27" i="9"/>
  <c r="BF26" i="9"/>
  <c r="BG6" i="9"/>
  <c r="BG7" i="9"/>
  <c r="BF46" i="9"/>
  <c r="BF45" i="9"/>
  <c r="BG8" i="9"/>
  <c r="C50" i="9"/>
  <c r="BD18" i="9"/>
  <c r="BF13" i="9"/>
  <c r="BF18" i="9" s="1"/>
  <c r="AZ48" i="9"/>
  <c r="AZ49" i="9" s="1"/>
  <c r="AZ20" i="9"/>
  <c r="AZ19" i="9"/>
  <c r="BD33" i="9"/>
  <c r="BF30" i="9"/>
  <c r="BF33" i="9" s="1"/>
  <c r="AZ35" i="9"/>
  <c r="AZ34" i="9"/>
  <c r="BE63" i="9"/>
  <c r="BD63" i="9"/>
  <c r="C80" i="9"/>
  <c r="C77" i="9"/>
  <c r="C10" i="9"/>
  <c r="AZ46" i="9"/>
  <c r="AZ45" i="9"/>
  <c r="G50" i="9"/>
  <c r="K50" i="9"/>
  <c r="O50" i="9"/>
  <c r="S50" i="9"/>
  <c r="W50" i="9"/>
  <c r="AA50" i="9"/>
  <c r="AE50" i="9"/>
  <c r="AI50" i="9"/>
  <c r="AM50" i="9"/>
  <c r="AQ50" i="9"/>
  <c r="AU50" i="9"/>
  <c r="AY46" i="9"/>
  <c r="AY45" i="9"/>
  <c r="AY48" i="9"/>
  <c r="AY49" i="9" s="1"/>
  <c r="P71" i="8"/>
  <c r="U63" i="8"/>
  <c r="U71" i="8" s="1"/>
  <c r="U77" i="8" s="1"/>
  <c r="T63" i="8"/>
  <c r="V9" i="8"/>
  <c r="T27" i="8"/>
  <c r="T26" i="8"/>
  <c r="T46" i="8"/>
  <c r="T45" i="8"/>
  <c r="V13" i="8"/>
  <c r="V18" i="8" s="1"/>
  <c r="T18" i="8"/>
  <c r="U48" i="8"/>
  <c r="U49" i="8" s="1"/>
  <c r="V30" i="8"/>
  <c r="V33" i="8" s="1"/>
  <c r="T33" i="8"/>
  <c r="P50" i="8"/>
  <c r="C50" i="8"/>
  <c r="P80" i="8"/>
  <c r="P77" i="8"/>
  <c r="P10" i="8"/>
  <c r="C80" i="8"/>
  <c r="C77" i="8"/>
  <c r="C10" i="8"/>
  <c r="P46" i="8"/>
  <c r="P45" i="8"/>
  <c r="D78" i="8"/>
  <c r="D79" i="8" s="1"/>
  <c r="D50" i="8"/>
  <c r="D81" i="8" s="1"/>
  <c r="E78" i="8"/>
  <c r="E79" i="8" s="1"/>
  <c r="E50" i="8"/>
  <c r="E81" i="8" s="1"/>
  <c r="F78" i="8"/>
  <c r="F79" i="8" s="1"/>
  <c r="F50" i="8"/>
  <c r="F81" i="8" s="1"/>
  <c r="G78" i="8"/>
  <c r="G79" i="8" s="1"/>
  <c r="G50" i="8"/>
  <c r="G81" i="8" s="1"/>
  <c r="H78" i="8"/>
  <c r="H79" i="8" s="1"/>
  <c r="H50" i="8"/>
  <c r="H81" i="8" s="1"/>
  <c r="I78" i="8"/>
  <c r="I79" i="8" s="1"/>
  <c r="I50" i="8"/>
  <c r="I81" i="8" s="1"/>
  <c r="J78" i="8"/>
  <c r="J79" i="8" s="1"/>
  <c r="J50" i="8"/>
  <c r="J81" i="8" s="1"/>
  <c r="K78" i="8"/>
  <c r="K79" i="8" s="1"/>
  <c r="K50" i="8"/>
  <c r="K81" i="8" s="1"/>
  <c r="L78" i="8"/>
  <c r="L79" i="8" s="1"/>
  <c r="L50" i="8"/>
  <c r="L81" i="8" s="1"/>
  <c r="M78" i="8"/>
  <c r="M79" i="8" s="1"/>
  <c r="M50" i="8"/>
  <c r="M81" i="8" s="1"/>
  <c r="N78" i="8"/>
  <c r="N79" i="8" s="1"/>
  <c r="N50" i="8"/>
  <c r="N81" i="8" s="1"/>
  <c r="O46" i="8"/>
  <c r="O45" i="8"/>
  <c r="O48" i="8"/>
  <c r="O49" i="8" s="1"/>
  <c r="P50" i="7"/>
  <c r="C50" i="7"/>
  <c r="P80" i="7"/>
  <c r="P77" i="7"/>
  <c r="P78" i="7" s="1"/>
  <c r="P79" i="7" s="1"/>
  <c r="P10" i="7"/>
  <c r="C80" i="7"/>
  <c r="C77" i="7"/>
  <c r="C78" i="7" s="1"/>
  <c r="C79" i="7" s="1"/>
  <c r="C10" i="7"/>
  <c r="P46" i="7"/>
  <c r="P45" i="7"/>
  <c r="D78" i="7"/>
  <c r="D79" i="7" s="1"/>
  <c r="D50" i="7"/>
  <c r="E78" i="7"/>
  <c r="E79" i="7" s="1"/>
  <c r="E50" i="7"/>
  <c r="F78" i="7"/>
  <c r="F79" i="7" s="1"/>
  <c r="F50" i="7"/>
  <c r="G78" i="7"/>
  <c r="G79" i="7" s="1"/>
  <c r="G50" i="7"/>
  <c r="H78" i="7"/>
  <c r="H79" i="7" s="1"/>
  <c r="H50" i="7"/>
  <c r="I78" i="7"/>
  <c r="I79" i="7" s="1"/>
  <c r="I50" i="7"/>
  <c r="J78" i="7"/>
  <c r="J79" i="7" s="1"/>
  <c r="J50" i="7"/>
  <c r="K78" i="7"/>
  <c r="K79" i="7" s="1"/>
  <c r="K50" i="7"/>
  <c r="L78" i="7"/>
  <c r="L79" i="7" s="1"/>
  <c r="L50" i="7"/>
  <c r="M78" i="7"/>
  <c r="M79" i="7" s="1"/>
  <c r="M50" i="7"/>
  <c r="N78" i="7"/>
  <c r="N79" i="7" s="1"/>
  <c r="N50" i="7"/>
  <c r="O46" i="7"/>
  <c r="O45" i="7"/>
  <c r="O48" i="7"/>
  <c r="O49" i="7" s="1"/>
  <c r="P50" i="6"/>
  <c r="P80" i="6"/>
  <c r="P10" i="6"/>
  <c r="P77" i="6"/>
  <c r="P78" i="6" s="1"/>
  <c r="P79" i="6" s="1"/>
  <c r="C80" i="6"/>
  <c r="C10" i="6"/>
  <c r="C77" i="6"/>
  <c r="C78" i="6" s="1"/>
  <c r="C79" i="6" s="1"/>
  <c r="H78" i="6"/>
  <c r="H79" i="6" s="1"/>
  <c r="H50" i="6"/>
  <c r="O45" i="6"/>
  <c r="O46" i="6"/>
  <c r="O48" i="6"/>
  <c r="O49" i="6" s="1"/>
  <c r="O78" i="11" l="1"/>
  <c r="O79" i="11" s="1"/>
  <c r="O50" i="11"/>
  <c r="P37" i="8"/>
  <c r="P29" i="8"/>
  <c r="P12" i="8"/>
  <c r="W5" i="8"/>
  <c r="W8" i="8"/>
  <c r="W7" i="8"/>
  <c r="P22" i="8"/>
  <c r="W6" i="8"/>
  <c r="AY50" i="9"/>
  <c r="C81" i="9"/>
  <c r="C78" i="9"/>
  <c r="C79" i="9" s="1"/>
  <c r="BF63" i="9"/>
  <c r="BF35" i="9"/>
  <c r="BF34" i="9"/>
  <c r="BD35" i="9"/>
  <c r="BD34" i="9"/>
  <c r="AZ50" i="9"/>
  <c r="BF48" i="9"/>
  <c r="BF20" i="9"/>
  <c r="BF19" i="9"/>
  <c r="BD48" i="9"/>
  <c r="BD49" i="9" s="1"/>
  <c r="BD20" i="9"/>
  <c r="BD19" i="9"/>
  <c r="BG9" i="9"/>
  <c r="BF49" i="9"/>
  <c r="C78" i="8"/>
  <c r="C79" i="8" s="1"/>
  <c r="C81" i="8"/>
  <c r="P78" i="8"/>
  <c r="P79" i="8" s="1"/>
  <c r="P81" i="8"/>
  <c r="T35" i="8"/>
  <c r="T34" i="8"/>
  <c r="V34" i="8"/>
  <c r="V35" i="8"/>
  <c r="U50" i="8"/>
  <c r="U81" i="8" s="1"/>
  <c r="U78" i="8"/>
  <c r="U79" i="8" s="1"/>
  <c r="T48" i="8"/>
  <c r="T49" i="8" s="1"/>
  <c r="T20" i="8"/>
  <c r="T19" i="8"/>
  <c r="V48" i="8"/>
  <c r="V19" i="8"/>
  <c r="V20" i="8"/>
  <c r="V49" i="8"/>
  <c r="V63" i="8"/>
  <c r="V71" i="8" s="1"/>
  <c r="V77" i="8" s="1"/>
  <c r="T71" i="8"/>
  <c r="T77" i="8" s="1"/>
  <c r="O78" i="8"/>
  <c r="O79" i="8" s="1"/>
  <c r="O50" i="8"/>
  <c r="O81" i="8" s="1"/>
  <c r="O78" i="7"/>
  <c r="O79" i="7" s="1"/>
  <c r="O50" i="7"/>
  <c r="O50" i="6"/>
  <c r="O78" i="6"/>
  <c r="O79" i="6" s="1"/>
  <c r="W9" i="8" l="1"/>
  <c r="BF50" i="9"/>
  <c r="BD50" i="9"/>
  <c r="V50" i="8"/>
  <c r="V81" i="8" s="1"/>
  <c r="V78" i="8"/>
  <c r="V79" i="8" s="1"/>
  <c r="T50" i="8"/>
  <c r="T81" i="8" s="1"/>
  <c r="T78" i="8"/>
  <c r="T79" i="8" s="1"/>
  <c r="P44" i="5"/>
  <c r="N43" i="5"/>
  <c r="M43" i="5"/>
  <c r="L43" i="5"/>
  <c r="K43" i="5"/>
  <c r="J43" i="5"/>
  <c r="I43" i="5"/>
  <c r="H43" i="5"/>
  <c r="G43" i="5"/>
  <c r="F43" i="5"/>
  <c r="E43" i="5"/>
  <c r="D43" i="5"/>
  <c r="C43" i="5"/>
  <c r="O43" i="5" s="1"/>
  <c r="N42" i="5"/>
  <c r="M42" i="5"/>
  <c r="L42" i="5"/>
  <c r="K42" i="5"/>
  <c r="J42" i="5"/>
  <c r="I42" i="5"/>
  <c r="H42" i="5"/>
  <c r="G42" i="5"/>
  <c r="F42" i="5"/>
  <c r="E42" i="5"/>
  <c r="D42" i="5"/>
  <c r="C42" i="5"/>
  <c r="O42" i="5" s="1"/>
  <c r="N41" i="5"/>
  <c r="N44" i="5" s="1"/>
  <c r="M41" i="5"/>
  <c r="M44" i="5" s="1"/>
  <c r="L41" i="5"/>
  <c r="L44" i="5" s="1"/>
  <c r="K41" i="5"/>
  <c r="K44" i="5" s="1"/>
  <c r="J41" i="5"/>
  <c r="J44" i="5" s="1"/>
  <c r="I41" i="5"/>
  <c r="I44" i="5" s="1"/>
  <c r="H41" i="5"/>
  <c r="H44" i="5" s="1"/>
  <c r="G41" i="5"/>
  <c r="G44" i="5" s="1"/>
  <c r="F41" i="5"/>
  <c r="F44" i="5" s="1"/>
  <c r="E41" i="5"/>
  <c r="E44" i="5" s="1"/>
  <c r="D41" i="5"/>
  <c r="D44" i="5" s="1"/>
  <c r="C41" i="5"/>
  <c r="O38" i="5"/>
  <c r="N37" i="5"/>
  <c r="M37" i="5"/>
  <c r="L37" i="5"/>
  <c r="K37" i="5"/>
  <c r="J37" i="5"/>
  <c r="I37" i="5"/>
  <c r="H37" i="5"/>
  <c r="G37" i="5"/>
  <c r="F37" i="5"/>
  <c r="E37" i="5"/>
  <c r="D37" i="5"/>
  <c r="C37" i="5"/>
  <c r="O37" i="5" s="1"/>
  <c r="N36" i="5"/>
  <c r="M36" i="5"/>
  <c r="L36" i="5"/>
  <c r="K36" i="5"/>
  <c r="J36" i="5"/>
  <c r="I36" i="5"/>
  <c r="H36" i="5"/>
  <c r="G36" i="5"/>
  <c r="F36" i="5"/>
  <c r="E36" i="5"/>
  <c r="D36" i="5"/>
  <c r="C36" i="5"/>
  <c r="O36" i="5" s="1"/>
  <c r="N35" i="5"/>
  <c r="M35" i="5"/>
  <c r="L35" i="5"/>
  <c r="K35" i="5"/>
  <c r="J35" i="5"/>
  <c r="I35" i="5"/>
  <c r="H35" i="5"/>
  <c r="G35" i="5"/>
  <c r="F35" i="5"/>
  <c r="E35" i="5"/>
  <c r="D35" i="5"/>
  <c r="C35" i="5"/>
  <c r="O35" i="5" s="1"/>
  <c r="O34" i="5"/>
  <c r="N33" i="5"/>
  <c r="M33" i="5"/>
  <c r="L33" i="5"/>
  <c r="K33" i="5"/>
  <c r="J33" i="5"/>
  <c r="I33" i="5"/>
  <c r="H33" i="5"/>
  <c r="G33" i="5"/>
  <c r="F33" i="5"/>
  <c r="E33" i="5"/>
  <c r="D33" i="5"/>
  <c r="C33" i="5"/>
  <c r="O33" i="5" s="1"/>
  <c r="N32" i="5"/>
  <c r="M32" i="5"/>
  <c r="L32" i="5"/>
  <c r="K32" i="5"/>
  <c r="J32" i="5"/>
  <c r="I32" i="5"/>
  <c r="H32" i="5"/>
  <c r="G32" i="5"/>
  <c r="F32" i="5"/>
  <c r="E32" i="5"/>
  <c r="D32" i="5"/>
  <c r="C32" i="5"/>
  <c r="O32" i="5" s="1"/>
  <c r="N30" i="5"/>
  <c r="M30" i="5"/>
  <c r="L30" i="5"/>
  <c r="K30" i="5"/>
  <c r="K31" i="5" s="1"/>
  <c r="J30" i="5"/>
  <c r="J31" i="5" s="1"/>
  <c r="I30" i="5"/>
  <c r="H30" i="5"/>
  <c r="G30" i="5"/>
  <c r="G31" i="5" s="1"/>
  <c r="F30" i="5"/>
  <c r="F31" i="5" s="1"/>
  <c r="E30" i="5"/>
  <c r="D30" i="5"/>
  <c r="C30" i="5"/>
  <c r="O30" i="5" s="1"/>
  <c r="N29" i="5"/>
  <c r="N31" i="5" s="1"/>
  <c r="M29" i="5"/>
  <c r="M31" i="5" s="1"/>
  <c r="L29" i="5"/>
  <c r="L31" i="5" s="1"/>
  <c r="I29" i="5"/>
  <c r="I31" i="5" s="1"/>
  <c r="H29" i="5"/>
  <c r="H31" i="5" s="1"/>
  <c r="E29" i="5"/>
  <c r="E31" i="5" s="1"/>
  <c r="D29" i="5"/>
  <c r="D31" i="5" s="1"/>
  <c r="C29" i="5"/>
  <c r="P28" i="5"/>
  <c r="O28" i="5"/>
  <c r="N27" i="5"/>
  <c r="M27" i="5"/>
  <c r="L27" i="5"/>
  <c r="K27" i="5"/>
  <c r="J27" i="5"/>
  <c r="I27" i="5"/>
  <c r="H27" i="5"/>
  <c r="G27" i="5"/>
  <c r="F27" i="5"/>
  <c r="E27" i="5"/>
  <c r="D27" i="5"/>
  <c r="C27" i="5"/>
  <c r="O27" i="5" s="1"/>
  <c r="N26" i="5"/>
  <c r="M26" i="5"/>
  <c r="L26" i="5"/>
  <c r="K26" i="5"/>
  <c r="J26" i="5"/>
  <c r="I26" i="5"/>
  <c r="H26" i="5"/>
  <c r="G26" i="5"/>
  <c r="F26" i="5"/>
  <c r="E26" i="5"/>
  <c r="D26" i="5"/>
  <c r="C26" i="5"/>
  <c r="O26" i="5" s="1"/>
  <c r="N25" i="5"/>
  <c r="M25" i="5"/>
  <c r="L25" i="5"/>
  <c r="K25" i="5"/>
  <c r="J25" i="5"/>
  <c r="I25" i="5"/>
  <c r="H25" i="5"/>
  <c r="G25" i="5"/>
  <c r="F25" i="5"/>
  <c r="E25" i="5"/>
  <c r="D25" i="5"/>
  <c r="C25" i="5"/>
  <c r="O25" i="5" s="1"/>
  <c r="J24" i="5"/>
  <c r="I24" i="5"/>
  <c r="O24" i="5" s="1"/>
  <c r="O23" i="5"/>
  <c r="N22" i="5"/>
  <c r="M22" i="5"/>
  <c r="L22" i="5"/>
  <c r="K22" i="5"/>
  <c r="J22" i="5"/>
  <c r="I22" i="5"/>
  <c r="H22" i="5"/>
  <c r="G22" i="5"/>
  <c r="F22" i="5"/>
  <c r="E22" i="5"/>
  <c r="D22" i="5"/>
  <c r="C22" i="5"/>
  <c r="O22" i="5" s="1"/>
  <c r="P21" i="5"/>
  <c r="P39" i="5" s="1"/>
  <c r="O21" i="5"/>
  <c r="N20" i="5"/>
  <c r="N39" i="5" s="1"/>
  <c r="M20" i="5"/>
  <c r="M39" i="5" s="1"/>
  <c r="L20" i="5"/>
  <c r="L39" i="5" s="1"/>
  <c r="K20" i="5"/>
  <c r="K39" i="5" s="1"/>
  <c r="J20" i="5"/>
  <c r="J39" i="5" s="1"/>
  <c r="I20" i="5"/>
  <c r="I39" i="5" s="1"/>
  <c r="H20" i="5"/>
  <c r="H39" i="5" s="1"/>
  <c r="G20" i="5"/>
  <c r="G39" i="5" s="1"/>
  <c r="F20" i="5"/>
  <c r="F39" i="5" s="1"/>
  <c r="E20" i="5"/>
  <c r="E39" i="5" s="1"/>
  <c r="D20" i="5"/>
  <c r="D39" i="5" s="1"/>
  <c r="C20" i="5"/>
  <c r="O19" i="5"/>
  <c r="N13" i="5"/>
  <c r="M13" i="5"/>
  <c r="L13" i="5"/>
  <c r="L14" i="5" s="1"/>
  <c r="K13" i="5"/>
  <c r="K14" i="5" s="1"/>
  <c r="J13" i="5"/>
  <c r="E13" i="5"/>
  <c r="D13" i="5"/>
  <c r="C13" i="5"/>
  <c r="O13" i="5" s="1"/>
  <c r="P12" i="5"/>
  <c r="O12" i="5"/>
  <c r="N11" i="5"/>
  <c r="N14" i="5" s="1"/>
  <c r="M11" i="5"/>
  <c r="M14" i="5" s="1"/>
  <c r="J11" i="5"/>
  <c r="J14" i="5" s="1"/>
  <c r="I11" i="5"/>
  <c r="I14" i="5" s="1"/>
  <c r="H11" i="5"/>
  <c r="H14" i="5" s="1"/>
  <c r="G11" i="5"/>
  <c r="G14" i="5" s="1"/>
  <c r="F11" i="5"/>
  <c r="F14" i="5" s="1"/>
  <c r="E11" i="5"/>
  <c r="E14" i="5" s="1"/>
  <c r="D11" i="5"/>
  <c r="D14" i="5" s="1"/>
  <c r="C11" i="5"/>
  <c r="O10" i="5"/>
  <c r="P10" i="5" s="1"/>
  <c r="P14" i="5" s="1"/>
  <c r="P7" i="5"/>
  <c r="N7" i="5"/>
  <c r="M7" i="5"/>
  <c r="L7" i="5"/>
  <c r="K7" i="5"/>
  <c r="J7" i="5"/>
  <c r="I7" i="5"/>
  <c r="H7" i="5"/>
  <c r="G7" i="5"/>
  <c r="F7" i="5"/>
  <c r="E7" i="5"/>
  <c r="D7" i="5"/>
  <c r="N6" i="5"/>
  <c r="N15" i="5" s="1"/>
  <c r="M6" i="5"/>
  <c r="M15" i="5" s="1"/>
  <c r="L6" i="5"/>
  <c r="L15" i="5" s="1"/>
  <c r="K6" i="5"/>
  <c r="K15" i="5" s="1"/>
  <c r="J6" i="5"/>
  <c r="J15" i="5" s="1"/>
  <c r="I6" i="5"/>
  <c r="I15" i="5" s="1"/>
  <c r="H6" i="5"/>
  <c r="H15" i="5" s="1"/>
  <c r="G6" i="5"/>
  <c r="G15" i="5" s="1"/>
  <c r="F6" i="5"/>
  <c r="F15" i="5" s="1"/>
  <c r="E6" i="5"/>
  <c r="E15" i="5" s="1"/>
  <c r="D6" i="5"/>
  <c r="D15" i="5" s="1"/>
  <c r="C6" i="5"/>
  <c r="P5" i="5"/>
  <c r="P6" i="5" s="1"/>
  <c r="P15" i="5" s="1"/>
  <c r="O5" i="5"/>
  <c r="O4" i="5"/>
  <c r="D47" i="3"/>
  <c r="J38" i="3"/>
  <c r="D39" i="3"/>
  <c r="D33" i="3"/>
  <c r="D41" i="3" s="1"/>
  <c r="J15" i="3"/>
  <c r="D19" i="3"/>
  <c r="D21" i="3"/>
  <c r="D11" i="3"/>
  <c r="P16" i="5" l="1"/>
  <c r="O6" i="5"/>
  <c r="O15" i="5" s="1"/>
  <c r="D16" i="5"/>
  <c r="E16" i="5"/>
  <c r="F16" i="5"/>
  <c r="G16" i="5"/>
  <c r="H16" i="5"/>
  <c r="I16" i="5"/>
  <c r="J16" i="5"/>
  <c r="K16" i="5"/>
  <c r="L16" i="5"/>
  <c r="M16" i="5"/>
  <c r="N16" i="5"/>
  <c r="C14" i="5"/>
  <c r="C15" i="5" s="1"/>
  <c r="O11" i="5"/>
  <c r="O20" i="5"/>
  <c r="D48" i="5"/>
  <c r="D45" i="5"/>
  <c r="D46" i="5" s="1"/>
  <c r="D47" i="5" s="1"/>
  <c r="E48" i="5"/>
  <c r="E45" i="5"/>
  <c r="E46" i="5" s="1"/>
  <c r="E47" i="5" s="1"/>
  <c r="F48" i="5"/>
  <c r="F45" i="5"/>
  <c r="F46" i="5" s="1"/>
  <c r="F47" i="5" s="1"/>
  <c r="G48" i="5"/>
  <c r="G45" i="5"/>
  <c r="G46" i="5" s="1"/>
  <c r="G47" i="5" s="1"/>
  <c r="H48" i="5"/>
  <c r="H45" i="5"/>
  <c r="H46" i="5" s="1"/>
  <c r="H47" i="5" s="1"/>
  <c r="I48" i="5"/>
  <c r="I45" i="5"/>
  <c r="I46" i="5" s="1"/>
  <c r="I47" i="5" s="1"/>
  <c r="J48" i="5"/>
  <c r="J45" i="5"/>
  <c r="J46" i="5" s="1"/>
  <c r="J47" i="5" s="1"/>
  <c r="K48" i="5"/>
  <c r="K45" i="5"/>
  <c r="K46" i="5" s="1"/>
  <c r="K47" i="5" s="1"/>
  <c r="L48" i="5"/>
  <c r="L45" i="5"/>
  <c r="L46" i="5" s="1"/>
  <c r="L47" i="5" s="1"/>
  <c r="M48" i="5"/>
  <c r="M45" i="5"/>
  <c r="M46" i="5" s="1"/>
  <c r="M47" i="5" s="1"/>
  <c r="N48" i="5"/>
  <c r="N45" i="5"/>
  <c r="N46" i="5" s="1"/>
  <c r="N47" i="5" s="1"/>
  <c r="P48" i="5"/>
  <c r="P45" i="5"/>
  <c r="P46" i="5" s="1"/>
  <c r="P47" i="5" s="1"/>
  <c r="C31" i="5"/>
  <c r="O29" i="5"/>
  <c r="C44" i="5"/>
  <c r="O41" i="5"/>
  <c r="O44" i="5" s="1"/>
  <c r="D23" i="3"/>
  <c r="H15" i="3"/>
  <c r="L15" i="3"/>
  <c r="D49" i="3"/>
  <c r="H38" i="3"/>
  <c r="L38" i="3"/>
  <c r="O31" i="5" l="1"/>
  <c r="C39" i="5"/>
  <c r="O39" i="5"/>
  <c r="C16" i="5"/>
  <c r="O16" i="5"/>
  <c r="O48" i="5" l="1"/>
  <c r="O45" i="5"/>
  <c r="O46" i="5" s="1"/>
  <c r="O7" i="5"/>
  <c r="C48" i="5"/>
  <c r="C45" i="5"/>
  <c r="C46" i="5" s="1"/>
  <c r="C47" i="5" s="1"/>
  <c r="C7" i="5"/>
  <c r="G71" i="9"/>
  <c r="K71" i="9"/>
  <c r="O71" i="9"/>
  <c r="S71" i="9"/>
  <c r="W71" i="9"/>
  <c r="AA71" i="9"/>
  <c r="AE71" i="9"/>
  <c r="AI71" i="9"/>
  <c r="AM71" i="9"/>
  <c r="AQ71" i="9"/>
  <c r="AU71" i="9"/>
  <c r="AZ64" i="9"/>
  <c r="AY64" i="9"/>
  <c r="AY71" i="9"/>
  <c r="BE64" i="9" l="1"/>
  <c r="BE71" i="9" s="1"/>
  <c r="BD64" i="9"/>
  <c r="AZ71" i="9"/>
  <c r="BD71" i="9" l="1"/>
  <c r="BF64" i="9"/>
  <c r="BF71" i="9" s="1"/>
  <c r="G76" i="9"/>
  <c r="G80" i="9"/>
  <c r="K76" i="9"/>
  <c r="K10" i="9"/>
  <c r="O76" i="9"/>
  <c r="O80" i="9"/>
  <c r="O77" i="9" l="1"/>
  <c r="O10" i="9"/>
  <c r="K77" i="9"/>
  <c r="K80" i="9"/>
  <c r="G77" i="9"/>
  <c r="G10" i="9"/>
  <c r="G78" i="9" l="1"/>
  <c r="G79" i="9" s="1"/>
  <c r="G81" i="9"/>
  <c r="K78" i="9"/>
  <c r="K79" i="9" s="1"/>
  <c r="K81" i="9"/>
  <c r="O78" i="9"/>
  <c r="O79" i="9" s="1"/>
  <c r="O81" i="9"/>
  <c r="AE76" i="9"/>
  <c r="AE77" i="9"/>
  <c r="AE81" i="9" s="1"/>
  <c r="AE78" i="9"/>
  <c r="AE79" i="9"/>
  <c r="AA76" i="9"/>
  <c r="AA77" i="9"/>
  <c r="AA81" i="9" s="1"/>
  <c r="AA78" i="9"/>
  <c r="AA79" i="9"/>
  <c r="W76" i="9"/>
  <c r="W77" i="9"/>
  <c r="W81" i="9" s="1"/>
  <c r="W78" i="9"/>
  <c r="W79" i="9"/>
  <c r="S76" i="9"/>
  <c r="S77" i="9"/>
  <c r="S81" i="9" s="1"/>
  <c r="S78" i="9"/>
  <c r="S79" i="9"/>
  <c r="S10" i="9" l="1"/>
  <c r="S80" i="9"/>
  <c r="W80" i="9"/>
  <c r="W10" i="9"/>
  <c r="AA10" i="9"/>
  <c r="AA80" i="9"/>
  <c r="AE80" i="9"/>
  <c r="AE10" i="9"/>
  <c r="AY75" i="9"/>
  <c r="AY74" i="9"/>
  <c r="AZ74" i="9"/>
  <c r="BE74" i="9" s="1"/>
  <c r="BD74" i="9"/>
  <c r="BF74" i="9"/>
  <c r="AZ75" i="9"/>
  <c r="BE75" i="9" s="1"/>
  <c r="BD75" i="9"/>
  <c r="BF75" i="9"/>
  <c r="AY73" i="9"/>
  <c r="AY76" i="9"/>
  <c r="AY80" i="9"/>
  <c r="AI76" i="9"/>
  <c r="AI10" i="9"/>
  <c r="AM76" i="9"/>
  <c r="AM80" i="9"/>
  <c r="AQ76" i="9"/>
  <c r="AQ10" i="9"/>
  <c r="AU76" i="9"/>
  <c r="AU80" i="9"/>
  <c r="AZ73" i="9"/>
  <c r="BE73" i="9"/>
  <c r="BE76" i="9"/>
  <c r="BE77" i="9"/>
  <c r="BE81" i="9" s="1"/>
  <c r="BE78" i="9"/>
  <c r="BE79" i="9"/>
  <c r="AZ76" i="9" l="1"/>
  <c r="BD73" i="9"/>
  <c r="AU77" i="9"/>
  <c r="AU10" i="9"/>
  <c r="AQ77" i="9"/>
  <c r="AQ80" i="9"/>
  <c r="AM77" i="9"/>
  <c r="AM10" i="9"/>
  <c r="AI77" i="9"/>
  <c r="AI80" i="9"/>
  <c r="AY77" i="9"/>
  <c r="AY10" i="9"/>
  <c r="AY78" i="9" l="1"/>
  <c r="AY79" i="9" s="1"/>
  <c r="AY81" i="9"/>
  <c r="AI78" i="9"/>
  <c r="AI79" i="9" s="1"/>
  <c r="AI81" i="9"/>
  <c r="AM78" i="9"/>
  <c r="AM79" i="9" s="1"/>
  <c r="AM81" i="9"/>
  <c r="AQ78" i="9"/>
  <c r="AQ79" i="9" s="1"/>
  <c r="AQ81" i="9"/>
  <c r="AU78" i="9"/>
  <c r="AU79" i="9" s="1"/>
  <c r="AU81" i="9"/>
  <c r="BF73" i="9"/>
  <c r="BF76" i="9" s="1"/>
  <c r="BF77" i="9" s="1"/>
  <c r="BD76" i="9"/>
  <c r="BD77" i="9" s="1"/>
  <c r="AZ10" i="9"/>
  <c r="AZ80" i="9"/>
  <c r="AZ77" i="9"/>
  <c r="AZ78" i="9" l="1"/>
  <c r="AZ79" i="9" s="1"/>
  <c r="AZ81" i="9"/>
  <c r="BD78" i="9"/>
  <c r="BD79" i="9" s="1"/>
  <c r="BD81" i="9"/>
  <c r="BF78" i="9"/>
  <c r="BF79" i="9" s="1"/>
  <c r="BF8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tc={7D2CB328-E62D-4F03-9F73-52E03310E526}</author>
  </authors>
  <commentList>
    <comment ref="R1" authorId="0" shapeId="0" xr:uid="{7D2CB328-E62D-4F03-9F73-52E03310E526}">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Do we want a title in the banner?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tc={A62A4594-DE7A-42EB-B429-27B486FA01AC}</author>
  </authors>
  <commentList>
    <comment ref="R1" authorId="0" shapeId="0" xr:uid="{A62A4594-DE7A-42EB-B429-27B486FA01AC}">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the banner.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tc={FA8EF111-4C14-4886-96A2-FB2706795E65}</author>
  </authors>
  <commentList>
    <comment ref="R1" authorId="0" shapeId="0" xr:uid="{FA8EF111-4C14-4886-96A2-FB2706795E65}">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banner.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tc={80647064-F5C4-4DFD-9F6A-230AF8D6C298}</author>
  </authors>
  <commentList>
    <comment ref="BG1" authorId="0" shapeId="0" xr:uid="{80647064-F5C4-4DFD-9F6A-230AF8D6C29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the banner.</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tc={F9A32BEB-5D1D-45C2-9F3E-83C7764BD23F}</author>
  </authors>
  <commentList>
    <comment ref="C1" authorId="0" shapeId="0" xr:uid="{F9A32BEB-5D1D-45C2-9F3E-83C7764BD23F}">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@Greg Scroggs Please ensure sheet title is complete in the banner.</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tc={C2F4A9F9-34E3-4C0C-BCC4-2C36D2684808}</author>
  </authors>
  <commentList>
    <comment ref="M30" authorId="0" shapeId="0" xr:uid="{C2F4A9F9-34E3-4C0C-BCC4-2C36D268480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@Emily Compton Please brand the Breakeven Calculator sheet and add disclaimer.</t>
      </text>
    </comment>
  </commentList>
</comments>
</file>

<file path=xl/sharedStrings.xml><?xml version="1.0" encoding="utf-8"?>
<sst xmlns="http://schemas.openxmlformats.org/spreadsheetml/2006/main" count="1030" uniqueCount="242">
  <si>
    <t>GL Code</t>
  </si>
  <si>
    <t>Assets</t>
  </si>
  <si>
    <t>Current Assets</t>
  </si>
  <si>
    <t>Cash &amp; Bank Accounts (CIBC Chequing)</t>
  </si>
  <si>
    <t>Cash &amp; Bank Accounts (CIBC Savings)</t>
  </si>
  <si>
    <t xml:space="preserve">Accounts Receivable </t>
  </si>
  <si>
    <t xml:space="preserve">Inventory (Hot Tubs, Accessories, Parts) </t>
  </si>
  <si>
    <t xml:space="preserve">Prepaid Expenses </t>
  </si>
  <si>
    <r>
      <t>Total Current Assets</t>
    </r>
    <r>
      <rPr>
        <sz val="11"/>
        <color theme="1"/>
        <rFont val="Arial"/>
        <family val="2"/>
      </rPr>
      <t xml:space="preserve"> </t>
    </r>
  </si>
  <si>
    <t>Fixed Assets</t>
  </si>
  <si>
    <t xml:space="preserve">Property &amp; Equipment </t>
  </si>
  <si>
    <t>Current Ratio.</t>
  </si>
  <si>
    <t>Furniture and Fixtures</t>
  </si>
  <si>
    <t>/</t>
  </si>
  <si>
    <t xml:space="preserve"> =</t>
  </si>
  <si>
    <t>Trucks &amp; Trailers</t>
  </si>
  <si>
    <t>Computer Equipment</t>
  </si>
  <si>
    <t>Tools</t>
  </si>
  <si>
    <t>Total Property &amp; Equipment</t>
  </si>
  <si>
    <t xml:space="preserve">Less: Accumulated Depreciation </t>
  </si>
  <si>
    <r>
      <t>Net Fixed Assets</t>
    </r>
    <r>
      <rPr>
        <sz val="11"/>
        <color theme="1"/>
        <rFont val="Arial"/>
        <family val="2"/>
      </rPr>
      <t xml:space="preserve"> </t>
    </r>
  </si>
  <si>
    <r>
      <t>Total Assets</t>
    </r>
    <r>
      <rPr>
        <sz val="12"/>
        <color theme="1"/>
        <rFont val="Arial"/>
        <family val="2"/>
      </rPr>
      <t xml:space="preserve"> </t>
    </r>
  </si>
  <si>
    <t>Liabilities</t>
  </si>
  <si>
    <t>Current Liabilities</t>
  </si>
  <si>
    <t xml:space="preserve">Accounts Payable </t>
  </si>
  <si>
    <t xml:space="preserve">Credit Card Liabilities </t>
  </si>
  <si>
    <t>Short-Term Loans (CIBC Loan)</t>
  </si>
  <si>
    <t xml:space="preserve">Taxes Payable </t>
  </si>
  <si>
    <t>Other Current Liabilities</t>
  </si>
  <si>
    <r>
      <t>Total Current Liabilities</t>
    </r>
    <r>
      <rPr>
        <sz val="11"/>
        <color theme="1"/>
        <rFont val="Arial"/>
        <family val="2"/>
      </rPr>
      <t xml:space="preserve"> </t>
    </r>
  </si>
  <si>
    <t>Long-Term Liabilities</t>
  </si>
  <si>
    <t xml:space="preserve">Vehicle Loans </t>
  </si>
  <si>
    <t xml:space="preserve">Loans Owed to Shareholder </t>
  </si>
  <si>
    <t>Debt to Equity Ratio</t>
  </si>
  <si>
    <t>Other Long-Term Liabilities (BDC Loan)</t>
  </si>
  <si>
    <r>
      <t>Total Long-Term Liabilities</t>
    </r>
    <r>
      <rPr>
        <sz val="11"/>
        <color theme="1"/>
        <rFont val="Arial"/>
        <family val="2"/>
      </rPr>
      <t xml:space="preserve"> </t>
    </r>
  </si>
  <si>
    <r>
      <t>Total Liabilities</t>
    </r>
    <r>
      <rPr>
        <sz val="12"/>
        <color theme="1"/>
        <rFont val="Arial"/>
        <family val="2"/>
      </rPr>
      <t xml:space="preserve"> </t>
    </r>
  </si>
  <si>
    <t>Equity</t>
  </si>
  <si>
    <t xml:space="preserve">Owner's Capital </t>
  </si>
  <si>
    <t xml:space="preserve">Retained Earnings </t>
  </si>
  <si>
    <t xml:space="preserve">YTD Net Profit </t>
  </si>
  <si>
    <r>
      <t>Total Equity</t>
    </r>
    <r>
      <rPr>
        <sz val="11"/>
        <color theme="1"/>
        <rFont val="Arial"/>
        <family val="2"/>
      </rPr>
      <t xml:space="preserve"> </t>
    </r>
  </si>
  <si>
    <t xml:space="preserve">Total Liabilities &amp; Equity </t>
  </si>
  <si>
    <r>
      <t>Disclaimer:</t>
    </r>
    <r>
      <rPr>
        <sz val="12"/>
        <color theme="1"/>
        <rFont val="Aptos Narrow"/>
        <family val="2"/>
        <scheme val="minor"/>
      </rPr>
      <t xml:space="preserve"> The data presented in this spreadsheet is for demonstration purposes only. The business and all related information are entirely fictional.</t>
    </r>
  </si>
  <si>
    <t>Chart of Accounts</t>
  </si>
  <si>
    <t xml:space="preserve">Jan. </t>
  </si>
  <si>
    <t xml:space="preserve">Feb.  </t>
  </si>
  <si>
    <t>Mar</t>
  </si>
  <si>
    <t>Apr</t>
  </si>
  <si>
    <t>May</t>
  </si>
  <si>
    <t>Jun</t>
  </si>
  <si>
    <t>Jul</t>
  </si>
  <si>
    <t>Aug</t>
  </si>
  <si>
    <t>Sep</t>
  </si>
  <si>
    <t>Oct</t>
  </si>
  <si>
    <t>Nov</t>
  </si>
  <si>
    <t>Dec</t>
  </si>
  <si>
    <t>TOTAL (YTD) Current Year</t>
  </si>
  <si>
    <t>Sales Income (Revenue Centres)</t>
  </si>
  <si>
    <t>Monthly %</t>
  </si>
  <si>
    <t>Sales</t>
  </si>
  <si>
    <t>Total Sales</t>
  </si>
  <si>
    <t xml:space="preserve">BREAK EVEN </t>
  </si>
  <si>
    <t>Cost of Goods (Direct Expenses)</t>
  </si>
  <si>
    <t>Wholesale/Product Costs</t>
  </si>
  <si>
    <t>Freight, Shipping &amp; Truck Mileage</t>
  </si>
  <si>
    <t>Starter Kits &amp; Parts/Materials</t>
  </si>
  <si>
    <t>Subcontractors (Electricians)</t>
  </si>
  <si>
    <t>Total Cost of Goods</t>
  </si>
  <si>
    <t>Gross Profit</t>
  </si>
  <si>
    <t>Gross Margin</t>
  </si>
  <si>
    <t>Expenses (Fixed Costs)</t>
  </si>
  <si>
    <t>Rent</t>
  </si>
  <si>
    <t>Storage &amp; Warehousing</t>
  </si>
  <si>
    <t>Marketing</t>
  </si>
  <si>
    <t>Insurance</t>
  </si>
  <si>
    <t>Utilities</t>
  </si>
  <si>
    <t>Accounting</t>
  </si>
  <si>
    <t>Credit Card Processing Fees</t>
  </si>
  <si>
    <t>Phones</t>
  </si>
  <si>
    <t>Internet</t>
  </si>
  <si>
    <t>Wages (Retail, Technicians, Sales)</t>
  </si>
  <si>
    <t xml:space="preserve">Sales Commissions: </t>
  </si>
  <si>
    <t xml:space="preserve">Owner Salary </t>
  </si>
  <si>
    <t>Payroll &amp; Benefits</t>
  </si>
  <si>
    <t>Vehicles - Payments</t>
  </si>
  <si>
    <t>Vehicles - Insurance</t>
  </si>
  <si>
    <t>Vehicles - Repairs and Maintenance</t>
  </si>
  <si>
    <t>Fuel</t>
  </si>
  <si>
    <t>Administration/Office</t>
  </si>
  <si>
    <t xml:space="preserve">Medical </t>
  </si>
  <si>
    <t>Training (First Aid, Water Care)</t>
  </si>
  <si>
    <t>Total Expenses (Fixed Costs)</t>
  </si>
  <si>
    <t>Other Expenses</t>
  </si>
  <si>
    <t>Depreciation</t>
  </si>
  <si>
    <t>Taxes</t>
  </si>
  <si>
    <t>Interest Expense</t>
  </si>
  <si>
    <t>Total Other Expenses</t>
  </si>
  <si>
    <t xml:space="preserve">TOTAL EXPENSES </t>
  </si>
  <si>
    <t xml:space="preserve">NET PROFIT </t>
  </si>
  <si>
    <t>PROFIT MARGIN</t>
  </si>
  <si>
    <r>
      <rPr>
        <b/>
        <sz val="12"/>
        <color rgb="FF000000"/>
        <rFont val="Aptos Narrow"/>
        <scheme val="minor"/>
      </rPr>
      <t>Disclaimer:</t>
    </r>
    <r>
      <rPr>
        <sz val="12"/>
        <color rgb="FF000000"/>
        <rFont val="Aptos Narrow"/>
        <scheme val="minor"/>
      </rPr>
      <t xml:space="preserve"> The data presented in this spreadsheet is for demonstration purposes only. The business and all related information are entirely fictional.</t>
    </r>
  </si>
  <si>
    <t>Retail Hot Tub</t>
  </si>
  <si>
    <t>Part &amp; Accessories</t>
  </si>
  <si>
    <t>Repairs</t>
  </si>
  <si>
    <t>Water Care/Maintenance Club</t>
  </si>
  <si>
    <t>COGS Retail Hot Tub Sales</t>
  </si>
  <si>
    <t>Wholesale Cost of Hot Tub</t>
  </si>
  <si>
    <t>Hot Tub Starter Kits</t>
  </si>
  <si>
    <t>Freight and Delivery</t>
  </si>
  <si>
    <t>Retail Staff Wages</t>
  </si>
  <si>
    <t>Sales Commissions</t>
  </si>
  <si>
    <t>Total COG Hot Tub Sales</t>
  </si>
  <si>
    <t>COGS  Accessories</t>
  </si>
  <si>
    <t>Parts/Materials</t>
  </si>
  <si>
    <t>Total COG Accessories</t>
  </si>
  <si>
    <t>COGS Service/Repairs</t>
  </si>
  <si>
    <t xml:space="preserve">Subcontractors (Electricians) </t>
  </si>
  <si>
    <t>Parts and Materials</t>
  </si>
  <si>
    <t>Wages - Service Technician</t>
  </si>
  <si>
    <t>Total COG Service Repairs</t>
  </si>
  <si>
    <t>COGS Water Care/Maintenance Contracts</t>
  </si>
  <si>
    <t xml:space="preserve">Fuel </t>
  </si>
  <si>
    <t>Total COG Water Care Contracts</t>
  </si>
  <si>
    <t>TOTAL COGS</t>
  </si>
  <si>
    <t>GROSS PROFIT</t>
  </si>
  <si>
    <t>GROSS MARGIN</t>
  </si>
  <si>
    <t xml:space="preserve">$-   </t>
  </si>
  <si>
    <t xml:space="preserve"> $-   </t>
  </si>
  <si>
    <t>Increase Sales %</t>
  </si>
  <si>
    <t>Increase Price %</t>
  </si>
  <si>
    <t xml:space="preserve"> Increase in Sales </t>
  </si>
  <si>
    <t xml:space="preserve"> Increase in Price </t>
  </si>
  <si>
    <t xml:space="preserve"> Increase Sales &amp; Price </t>
  </si>
  <si>
    <t>Of Revenues</t>
  </si>
  <si>
    <t>`</t>
  </si>
  <si>
    <t>BREAK EVEN</t>
  </si>
  <si>
    <t>Jan. TTM Levers</t>
  </si>
  <si>
    <t>Increase Sales</t>
  </si>
  <si>
    <t>Increase Price</t>
  </si>
  <si>
    <t>BEFORE CHANGES</t>
  </si>
  <si>
    <r>
      <rPr>
        <b/>
        <sz val="11"/>
        <color rgb="FF000000"/>
        <rFont val="Aptos Narrow"/>
        <scheme val="minor"/>
      </rPr>
      <t>Disclaimer</t>
    </r>
    <r>
      <rPr>
        <sz val="11"/>
        <color rgb="FF000000"/>
        <rFont val="Aptos Narrow"/>
        <scheme val="minor"/>
      </rPr>
      <t>: The data presented in this spreadsheet is for demonstration purposes only. The business and all related information are entirely fictional.</t>
    </r>
  </si>
  <si>
    <t>FORECAST Increase in Sales &amp; Price</t>
  </si>
  <si>
    <t>Adust to Increase or Decrease SALES</t>
  </si>
  <si>
    <t>Adust to Increase or Decrease PRICE</t>
  </si>
  <si>
    <t>% of Sales</t>
  </si>
  <si>
    <t>Average Revenue Per Unit</t>
  </si>
  <si>
    <t>Average GP $ Per Unit</t>
  </si>
  <si>
    <t># of Units Sold</t>
  </si>
  <si>
    <t>Units Sold to Breakeven</t>
  </si>
  <si>
    <t># of Transactions</t>
  </si>
  <si>
    <t>Average Rev $ Per Transaction</t>
  </si>
  <si>
    <t>Average # Transactions to Breakeven</t>
  </si>
  <si>
    <t># of Service Call Outs</t>
  </si>
  <si>
    <t>Average Rev $ Per Call Out</t>
  </si>
  <si>
    <t>Average # Service Calls to Breakeven</t>
  </si>
  <si>
    <t># of Clients Serviced</t>
  </si>
  <si>
    <t>Average Visits per day</t>
  </si>
  <si>
    <t>Average Rev $ Per Client</t>
  </si>
  <si>
    <t>Average # of Clients to Breakeven</t>
  </si>
  <si>
    <t>BEGINNING CASH POSITION</t>
  </si>
  <si>
    <t>FREE CASH FLOW</t>
  </si>
  <si>
    <t>ENDING CASH POSITION</t>
  </si>
  <si>
    <t>Variance $ 2024</t>
  </si>
  <si>
    <t>Variance % 2024</t>
  </si>
  <si>
    <t>Variance ($) 2025</t>
  </si>
  <si>
    <t>Variance % 2025</t>
  </si>
  <si>
    <t> </t>
  </si>
  <si>
    <t>Total COGs</t>
  </si>
  <si>
    <t>Total Expenses</t>
  </si>
  <si>
    <t>Net Profit</t>
  </si>
  <si>
    <t>Profit Margin</t>
  </si>
  <si>
    <r>
      <rPr>
        <b/>
        <sz val="11"/>
        <color rgb="FF242424"/>
        <rFont val="Aptos Narrow"/>
      </rPr>
      <t>Disclaimer:</t>
    </r>
    <r>
      <rPr>
        <sz val="11"/>
        <color rgb="FF242424"/>
        <rFont val="Aptos Narrow"/>
      </rPr>
      <t xml:space="preserve"> The data presented in this spreadsheet is for demonstration purposes only. The business and all related information are entirely fictional.</t>
    </r>
  </si>
  <si>
    <t>Apr vs Mar ($)</t>
  </si>
  <si>
    <t>Apr vs Mar (%)</t>
  </si>
  <si>
    <t>May vs Apr ($)</t>
  </si>
  <si>
    <t>May vs Apr (%)</t>
  </si>
  <si>
    <t xml:space="preserve">Sales Income </t>
  </si>
  <si>
    <t>Net Income</t>
  </si>
  <si>
    <t>New AP</t>
  </si>
  <si>
    <t>Loan Payments</t>
  </si>
  <si>
    <t>New AR</t>
  </si>
  <si>
    <t>Inventory Change</t>
  </si>
  <si>
    <t>Capital Expenditure</t>
  </si>
  <si>
    <t>Dividends Paid</t>
  </si>
  <si>
    <t>Free Cashflow</t>
  </si>
  <si>
    <t>Average Monthly Expenses (Fixed Costs)</t>
  </si>
  <si>
    <t>From TTM</t>
  </si>
  <si>
    <t>Annual Overall Gross Margin</t>
  </si>
  <si>
    <t>Average Monthly Break-Even Revenue</t>
  </si>
  <si>
    <t>Test New Fixed Cost</t>
  </si>
  <si>
    <t>Revenue to cover new fixed cost</t>
  </si>
  <si>
    <t>Hot Tub Sales Increase Plan</t>
  </si>
  <si>
    <t>Marketing dollars spent</t>
  </si>
  <si>
    <t>Sales commissions paid</t>
  </si>
  <si>
    <t>Total New Expense</t>
  </si>
  <si>
    <t>Retail Hot Tub Margin</t>
  </si>
  <si>
    <t>Revenue to cover new cost</t>
  </si>
  <si>
    <t>Actual Increase in 2025 Revenue</t>
  </si>
  <si>
    <t>7 new tubs sold</t>
  </si>
  <si>
    <t>Expected Revenue Increase @ 10 Tubs</t>
  </si>
  <si>
    <t>10 new tubs sold</t>
  </si>
  <si>
    <t>Return on Investment</t>
  </si>
  <si>
    <t>Examples of actions to take</t>
  </si>
  <si>
    <t xml:space="preserve">Input </t>
  </si>
  <si>
    <t>Notes:</t>
  </si>
  <si>
    <t>Base scenario</t>
  </si>
  <si>
    <t>Sell more units (Increase Revenue)</t>
  </si>
  <si>
    <t>COGS also goes up</t>
  </si>
  <si>
    <t>Raise Prices by (increase GM)</t>
  </si>
  <si>
    <t>COGS stays the same when you raise prices</t>
  </si>
  <si>
    <t>Lower Expenses</t>
  </si>
  <si>
    <t>Reduces Capacity</t>
  </si>
  <si>
    <t>Rub-a-Dub Scenario</t>
  </si>
  <si>
    <t>Scenario Calculations</t>
  </si>
  <si>
    <t>Changes in your business</t>
  </si>
  <si>
    <t xml:space="preserve">P&amp;L Correlation </t>
  </si>
  <si>
    <t xml:space="preserve">Input Cells </t>
  </si>
  <si>
    <t>Total Income</t>
  </si>
  <si>
    <t>1. Sell more units</t>
  </si>
  <si>
    <t>Increase revenue</t>
  </si>
  <si>
    <t>COGS or COS</t>
  </si>
  <si>
    <t>COGS</t>
  </si>
  <si>
    <t>2. Raise Prices</t>
  </si>
  <si>
    <t>Increase GM</t>
  </si>
  <si>
    <t>Expenses</t>
  </si>
  <si>
    <t>3. Lower Expenses</t>
  </si>
  <si>
    <t>Decrease Expenses</t>
  </si>
  <si>
    <t>Net Profit Margin</t>
  </si>
  <si>
    <t>Disclaimer: The data presented in this spreadsheet is for demonstration purposes only. The business and all related information are entirely fictional.</t>
  </si>
  <si>
    <t>Changes that were made:</t>
  </si>
  <si>
    <r>
      <rPr>
        <sz val="12"/>
        <color rgb="FF000000"/>
        <rFont val="Aptos"/>
      </rPr>
      <t>1.</t>
    </r>
    <r>
      <rPr>
        <sz val="7"/>
        <color rgb="FF000000"/>
        <rFont val="Times New Roman"/>
      </rPr>
      <t xml:space="preserve">      </t>
    </r>
    <r>
      <rPr>
        <sz val="12"/>
        <color rgb="FF000000"/>
        <rFont val="Aptos"/>
      </rPr>
      <t>In March we improved our process for acquiring water care contracts with new hot tub buyers and through other avenues such as property maintenance companies etc. We see growth in this area throughout the rest of the year that will account for approximately 20% growth per annum. Cost of goods increased accordingly however we found efficiencies as a result, due to no increase in Water Care vehicle costs – payments, insurance, and repairs and maintenance.</t>
    </r>
  </si>
  <si>
    <r>
      <rPr>
        <sz val="12"/>
        <color rgb="FF000000"/>
        <rFont val="Aptos"/>
      </rPr>
      <t>2.</t>
    </r>
    <r>
      <rPr>
        <sz val="7"/>
        <color rgb="FF000000"/>
        <rFont val="Times New Roman"/>
      </rPr>
      <t xml:space="preserve">      </t>
    </r>
    <r>
      <rPr>
        <sz val="12"/>
        <color rgb="FF000000"/>
        <rFont val="Aptos"/>
      </rPr>
      <t>In April We started charging 6% more for Hot Tubs to cover the cost of Starter Kits that we were not charging for.</t>
    </r>
  </si>
  <si>
    <r>
      <rPr>
        <sz val="12"/>
        <color rgb="FF000000"/>
        <rFont val="Aptos"/>
      </rPr>
      <t>3.</t>
    </r>
    <r>
      <rPr>
        <sz val="7"/>
        <color rgb="FF000000"/>
        <rFont val="Times New Roman"/>
      </rPr>
      <t xml:space="preserve">      </t>
    </r>
    <r>
      <rPr>
        <sz val="12"/>
        <color rgb="FF000000"/>
        <rFont val="Aptos"/>
      </rPr>
      <t>In April we increased Parts &amp; Accessories Prices by 3%</t>
    </r>
  </si>
  <si>
    <r>
      <t>4.</t>
    </r>
    <r>
      <rPr>
        <sz val="7"/>
        <color theme="1"/>
        <rFont val="Times New Roman"/>
        <charset val="1"/>
      </rPr>
      <t xml:space="preserve">      </t>
    </r>
    <r>
      <rPr>
        <sz val="12"/>
        <color theme="1"/>
        <rFont val="Aptos"/>
        <family val="2"/>
        <charset val="1"/>
      </rPr>
      <t>In August we increased marketing spend by 40% and immediately saw increase in hot tub sales.</t>
    </r>
  </si>
  <si>
    <r>
      <t>a.</t>
    </r>
    <r>
      <rPr>
        <sz val="7"/>
        <color theme="1"/>
        <rFont val="Times New Roman"/>
        <charset val="1"/>
      </rPr>
      <t xml:space="preserve">      </t>
    </r>
    <r>
      <rPr>
        <sz val="12"/>
        <color theme="1"/>
        <rFont val="Aptos"/>
        <family val="2"/>
        <charset val="1"/>
      </rPr>
      <t>Aug 1 tub for $10,000</t>
    </r>
  </si>
  <si>
    <r>
      <t>b.</t>
    </r>
    <r>
      <rPr>
        <sz val="7"/>
        <color theme="1"/>
        <rFont val="Times New Roman"/>
        <charset val="1"/>
      </rPr>
      <t xml:space="preserve">     </t>
    </r>
    <r>
      <rPr>
        <sz val="12"/>
        <color theme="1"/>
        <rFont val="Aptos"/>
        <family val="2"/>
        <charset val="1"/>
      </rPr>
      <t>Sept 1 tub for $20,000</t>
    </r>
  </si>
  <si>
    <r>
      <t>c.</t>
    </r>
    <r>
      <rPr>
        <sz val="7"/>
        <color theme="1"/>
        <rFont val="Times New Roman"/>
        <charset val="1"/>
      </rPr>
      <t xml:space="preserve">      </t>
    </r>
    <r>
      <rPr>
        <sz val="12"/>
        <color theme="1"/>
        <rFont val="Aptos"/>
        <family val="2"/>
        <charset val="1"/>
      </rPr>
      <t>Oct. 2 tubs for $10,000 and $18,000</t>
    </r>
  </si>
  <si>
    <r>
      <t>d.</t>
    </r>
    <r>
      <rPr>
        <sz val="7"/>
        <color theme="1"/>
        <rFont val="Times New Roman"/>
        <charset val="1"/>
      </rPr>
      <t xml:space="preserve">     </t>
    </r>
    <r>
      <rPr>
        <sz val="12"/>
        <color theme="1"/>
        <rFont val="Aptos"/>
        <family val="2"/>
        <charset val="1"/>
      </rPr>
      <t>Nov. 2 Tubs for $12,000 and $13,000</t>
    </r>
  </si>
  <si>
    <r>
      <t>e.</t>
    </r>
    <r>
      <rPr>
        <sz val="7"/>
        <color theme="1"/>
        <rFont val="Times New Roman"/>
        <charset val="1"/>
      </rPr>
      <t xml:space="preserve">      </t>
    </r>
    <r>
      <rPr>
        <sz val="12"/>
        <color theme="1"/>
        <rFont val="Aptos"/>
        <family val="2"/>
        <charset val="1"/>
      </rPr>
      <t>Dec. 1 Tub for $22,000</t>
    </r>
  </si>
  <si>
    <t>Again, we found efficiencies as we did not have to increase retail staff wages.</t>
  </si>
  <si>
    <r>
      <rPr>
        <sz val="12"/>
        <color rgb="FF000000"/>
        <rFont val="Aptos"/>
      </rPr>
      <t>5.</t>
    </r>
    <r>
      <rPr>
        <sz val="7"/>
        <color rgb="FF000000"/>
        <rFont val="Times New Roman"/>
      </rPr>
      <t xml:space="preserve">      </t>
    </r>
    <r>
      <rPr>
        <sz val="12"/>
        <color rgb="FF000000"/>
        <rFont val="Aptos"/>
      </rPr>
      <t xml:space="preserve">In Sept. we tripled the Sales Commissions for all Hot Tub Sales.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</si>
</sst>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quot;$&quot;* #,##0_-;_-&quot;$&quot;* &quot;-&quot;_-;_-@_-"/>
    <numFmt numFmtId="44" formatCode="_-&quot;$&quot;* #,##0.00_-;\-&quot;$&quot;* #,##0.00_-;_-&quot;$&quot;* &quot;-&quot;??_-;_-@_-"/>
    <numFmt numFmtId="164" formatCode="&quot;$&quot;#,##0_);[Red]\(&quot;$&quot;#,##0\)"/>
    <numFmt numFmtId="165" formatCode="_(&quot;$&quot;* #,##0_);_(&quot;$&quot;* \(#,##0\);_(&quot;$&quot;* &quot;-&quot;_);_(@_)"/>
    <numFmt numFmtId="166" formatCode="_(&quot;$&quot;* #,##0.00_);_(&quot;$&quot;* \(#,##0.00\);_(&quot;$&quot;* &quot;-&quot;??_);_(@_)"/>
    <numFmt numFmtId="167" formatCode="_-&quot;$&quot;* #,##0_-;\-&quot;$&quot;* #,##0_-;_-&quot;$&quot;* &quot;-&quot;??_-;_-@_-"/>
    <numFmt numFmtId="168" formatCode="&quot;$&quot;#,##0"/>
    <numFmt numFmtId="169" formatCode="0.0%"/>
    <numFmt numFmtId="170" formatCode="_-[$$-409]* #,##0_ ;_-[$$-409]* \-#,##0\ ;_-[$$-409]* &quot;-&quot;??_ ;_-@_ "/>
    <numFmt numFmtId="171" formatCode="_([$$-409]* #,##0_);_([$$-409]* \(#,##0\);_([$$-409]* &quot;-&quot;??_);_(@_)"/>
    <numFmt numFmtId="172" formatCode="_(&quot;$&quot;* #,##0_);_(&quot;$&quot;* \(#,##0\);_(&quot;$&quot;* &quot;-&quot;??_);_(@_)"/>
  </numFmts>
  <fonts count="49" x14ac:knownFonts="1">
    <font>
      <sz val="11"/>
      <color theme="1"/>
      <name val="Aptos Narrow"/>
      <family val="2"/>
      <scheme val="minor"/>
    </font>
    <font>
      <b/>
      <sz val="11"/>
      <color theme="1"/>
      <name val="Aptos Narrow"/>
      <family val="2"/>
      <scheme val="minor"/>
    </font>
    <font>
      <sz val="11"/>
      <color theme="1"/>
      <name val="Arial"/>
      <family val="2"/>
    </font>
    <font>
      <b/>
      <sz val="11"/>
      <color theme="1"/>
      <name val="Arial"/>
      <family val="2"/>
    </font>
    <font>
      <b/>
      <sz val="24"/>
      <color theme="1"/>
      <name val="Arial"/>
      <family val="2"/>
    </font>
    <font>
      <b/>
      <sz val="13.5"/>
      <color theme="1"/>
      <name val="Arial"/>
      <family val="2"/>
    </font>
    <font>
      <b/>
      <sz val="14"/>
      <color theme="1"/>
      <name val="Arial"/>
      <family val="2"/>
    </font>
    <font>
      <b/>
      <u/>
      <sz val="12"/>
      <color theme="1"/>
      <name val="Arial"/>
      <family val="2"/>
    </font>
    <font>
      <b/>
      <sz val="18"/>
      <color theme="1"/>
      <name val="Aptos Narrow"/>
      <family val="2"/>
      <scheme val="minor"/>
    </font>
    <font>
      <b/>
      <u/>
      <sz val="11"/>
      <color theme="1"/>
      <name val="Aptos Narrow"/>
      <family val="2"/>
      <scheme val="minor"/>
    </font>
    <font>
      <sz val="12"/>
      <color theme="1"/>
      <name val="Arial"/>
      <family val="2"/>
    </font>
    <font>
      <b/>
      <sz val="12"/>
      <color theme="1"/>
      <name val="Arial"/>
      <family val="2"/>
    </font>
    <font>
      <b/>
      <sz val="12"/>
      <color theme="1"/>
      <name val="Aptos Narrow"/>
      <family val="2"/>
      <scheme val="minor"/>
    </font>
    <font>
      <sz val="12"/>
      <color theme="1"/>
      <name val="Aptos Narrow"/>
      <family val="2"/>
      <scheme val="minor"/>
    </font>
    <font>
      <b/>
      <sz val="36"/>
      <color theme="1"/>
      <name val="Arial"/>
      <family val="2"/>
    </font>
    <font>
      <b/>
      <sz val="11"/>
      <name val="Aptos Narrow"/>
      <family val="2"/>
      <scheme val="minor"/>
    </font>
    <font>
      <sz val="11"/>
      <color rgb="FF000000"/>
      <name val="Aptos Narrow"/>
      <family val="2"/>
      <scheme val="minor"/>
    </font>
    <font>
      <sz val="11"/>
      <name val="Aptos Narrow"/>
      <family val="2"/>
      <scheme val="minor"/>
    </font>
    <font>
      <b/>
      <sz val="11"/>
      <color rgb="FF000000"/>
      <name val="Aptos Narrow"/>
      <family val="2"/>
      <scheme val="minor"/>
    </font>
    <font>
      <sz val="11"/>
      <color rgb="FF000000"/>
      <name val="Aptos Narrow"/>
      <scheme val="minor"/>
    </font>
    <font>
      <sz val="12"/>
      <color rgb="FF000000"/>
      <name val="Aptos Narrow"/>
      <scheme val="minor"/>
    </font>
    <font>
      <b/>
      <sz val="12"/>
      <color rgb="FF000000"/>
      <name val="Aptos Narrow"/>
      <scheme val="minor"/>
    </font>
    <font>
      <b/>
      <sz val="11"/>
      <color rgb="FF000000"/>
      <name val="Aptos Narrow"/>
      <family val="2"/>
    </font>
    <font>
      <sz val="12"/>
      <color theme="1"/>
      <name val="Aptos"/>
      <family val="2"/>
      <charset val="1"/>
    </font>
    <font>
      <sz val="7"/>
      <color theme="1"/>
      <name val="Times New Roman"/>
      <charset val="1"/>
    </font>
    <font>
      <sz val="12"/>
      <color theme="1"/>
      <name val="Symbol"/>
      <charset val="1"/>
    </font>
    <font>
      <sz val="12"/>
      <color theme="1"/>
      <name val="Aptos"/>
      <charset val="1"/>
    </font>
    <font>
      <sz val="12"/>
      <color rgb="FF000000"/>
      <name val="Aptos"/>
    </font>
    <font>
      <sz val="7"/>
      <color rgb="FF000000"/>
      <name val="Times New Roman"/>
    </font>
    <font>
      <sz val="12"/>
      <color rgb="FF000000"/>
      <name val="Aptos"/>
      <charset val="1"/>
    </font>
    <font>
      <b/>
      <sz val="11"/>
      <color rgb="FF000000"/>
      <name val="Aptos Narrow"/>
      <scheme val="minor"/>
    </font>
    <font>
      <b/>
      <sz val="11"/>
      <color rgb="FF000000"/>
      <name val="Arial"/>
    </font>
    <font>
      <b/>
      <sz val="11"/>
      <color rgb="FF000000"/>
      <name val="Calibri"/>
      <family val="2"/>
    </font>
    <font>
      <b/>
      <sz val="11"/>
      <name val="Calibri"/>
    </font>
    <font>
      <sz val="11"/>
      <color rgb="FF000000"/>
      <name val="Calibri"/>
      <family val="2"/>
    </font>
    <font>
      <b/>
      <sz val="14"/>
      <name val="Calibri"/>
    </font>
    <font>
      <b/>
      <sz val="12"/>
      <color rgb="FF000000"/>
      <name val="Aptos Narrow"/>
      <family val="2"/>
      <scheme val="minor"/>
    </font>
    <font>
      <sz val="11"/>
      <color rgb="FF242424"/>
      <name val="Aptos Narrow"/>
      <charset val="1"/>
    </font>
    <font>
      <b/>
      <sz val="11"/>
      <color rgb="FF242424"/>
      <name val="Aptos Narrow"/>
    </font>
    <font>
      <sz val="11"/>
      <color rgb="FF242424"/>
      <name val="Aptos Narrow"/>
    </font>
    <font>
      <sz val="8"/>
      <name val="Aptos Narrow"/>
      <family val="2"/>
      <scheme val="minor"/>
    </font>
    <font>
      <sz val="11"/>
      <color rgb="FF000000"/>
      <name val="Aptos Narrow"/>
      <family val="2"/>
    </font>
    <font>
      <b/>
      <sz val="11"/>
      <color rgb="FF000000"/>
      <name val="Arial"/>
      <family val="2"/>
    </font>
    <font>
      <b/>
      <sz val="11"/>
      <name val="Aptos Narrow"/>
      <family val="2"/>
    </font>
    <font>
      <b/>
      <sz val="11"/>
      <color rgb="FFFF0000"/>
      <name val="Aptos Narrow"/>
      <family val="2"/>
    </font>
    <font>
      <b/>
      <sz val="11"/>
      <color rgb="FF9C0006"/>
      <name val="Aptos Narrow"/>
      <family val="2"/>
    </font>
    <font>
      <b/>
      <sz val="11"/>
      <color rgb="FFFF0000"/>
      <name val="Aptos Narrow"/>
      <family val="2"/>
      <scheme val="minor"/>
    </font>
    <font>
      <sz val="18"/>
      <color rgb="FF156082"/>
      <name val="Aptos Narrow"/>
    </font>
    <font>
      <b/>
      <sz val="11"/>
      <color rgb="FF000000"/>
      <name val="Aptos Narrow"/>
    </font>
  </fonts>
  <fills count="3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bgColor indexed="64"/>
      </patternFill>
    </fill>
    <fill>
      <patternFill patternType="solid">
        <fgColor rgb="FFFFC0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FF"/>
        <bgColor rgb="FF000000"/>
      </patternFill>
    </fill>
    <fill>
      <patternFill patternType="solid">
        <fgColor theme="9" tint="0.59999389629810485"/>
        <bgColor indexed="64"/>
      </patternFill>
    </fill>
    <fill>
      <patternFill patternType="solid">
        <fgColor rgb="FFC0E6F5"/>
        <bgColor rgb="FF000000"/>
      </patternFill>
    </fill>
    <fill>
      <patternFill patternType="solid">
        <fgColor theme="4" tint="0.59999389629810485"/>
        <bgColor indexed="64"/>
      </patternFill>
    </fill>
    <fill>
      <patternFill patternType="solid">
        <fgColor rgb="FFFF0000"/>
        <bgColor indexed="64"/>
      </patternFill>
    </fill>
    <fill>
      <patternFill patternType="solid">
        <fgColor rgb="FFF75E5E"/>
        <bgColor indexed="64"/>
      </patternFill>
    </fill>
    <fill>
      <patternFill patternType="solid">
        <fgColor theme="8" tint="0.59999389629810485"/>
        <bgColor indexed="64"/>
      </patternFill>
    </fill>
    <fill>
      <patternFill patternType="solid">
        <fgColor rgb="FF00B0F0"/>
        <bgColor indexed="64"/>
      </patternFill>
    </fill>
    <fill>
      <patternFill patternType="solid">
        <fgColor rgb="FFFFF2CC"/>
        <bgColor rgb="FF000000"/>
      </patternFill>
    </fill>
    <fill>
      <patternFill patternType="solid">
        <fgColor rgb="FFE7E6E6"/>
        <bgColor rgb="FF000000"/>
      </patternFill>
    </fill>
    <fill>
      <patternFill patternType="solid">
        <fgColor rgb="FF92D050"/>
        <bgColor rgb="FF000000"/>
      </patternFill>
    </fill>
    <fill>
      <patternFill patternType="solid">
        <fgColor rgb="FF006298"/>
        <bgColor indexed="64"/>
      </patternFill>
    </fill>
    <fill>
      <patternFill patternType="solid">
        <fgColor theme="8" tint="0.79998168889431442"/>
        <bgColor indexed="64"/>
      </patternFill>
    </fill>
    <fill>
      <patternFill patternType="solid">
        <fgColor rgb="FFE8E8E8"/>
        <bgColor rgb="FF000000"/>
      </patternFill>
    </fill>
    <fill>
      <patternFill patternType="solid">
        <fgColor rgb="FFC1F0C8"/>
        <bgColor rgb="FF000000"/>
      </patternFill>
    </fill>
    <fill>
      <patternFill patternType="solid">
        <fgColor rgb="FF61CBF3"/>
        <bgColor rgb="FF000000"/>
      </patternFill>
    </fill>
    <fill>
      <patternFill patternType="solid">
        <fgColor theme="7" tint="0.79998168889431442"/>
        <bgColor indexed="64"/>
      </patternFill>
    </fill>
  </fills>
  <borders count="72">
    <border>
      <left/>
      <right/>
      <top/>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thin">
        <color theme="2"/>
      </left>
      <right/>
      <top style="thin">
        <color theme="2"/>
      </top>
      <bottom/>
      <diagonal/>
    </border>
    <border>
      <left/>
      <right style="thin">
        <color theme="2"/>
      </right>
      <top/>
      <bottom style="thin">
        <color theme="2"/>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theme="2"/>
      </left>
      <right style="thin">
        <color theme="1"/>
      </right>
      <top style="thin">
        <color theme="2"/>
      </top>
      <bottom style="thin">
        <color theme="2"/>
      </bottom>
      <diagonal/>
    </border>
    <border>
      <left style="thin">
        <color theme="1"/>
      </left>
      <right/>
      <top style="thin">
        <color theme="1"/>
      </top>
      <bottom style="thin">
        <color theme="1"/>
      </bottom>
      <diagonal/>
    </border>
    <border>
      <left/>
      <right style="thin">
        <color theme="2"/>
      </right>
      <top/>
      <bottom/>
      <diagonal/>
    </border>
    <border>
      <left style="thin">
        <color theme="2"/>
      </left>
      <right/>
      <top/>
      <bottom/>
      <diagonal/>
    </border>
    <border>
      <left/>
      <right style="thin">
        <color theme="1"/>
      </right>
      <top style="thin">
        <color theme="1"/>
      </top>
      <bottom style="thin">
        <color theme="1"/>
      </bottom>
      <diagonal/>
    </border>
    <border>
      <left/>
      <right style="thin">
        <color theme="1"/>
      </right>
      <top/>
      <bottom style="thin">
        <color theme="1"/>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theme="2"/>
      </left>
      <right/>
      <top/>
      <bottom style="thin">
        <color theme="2"/>
      </bottom>
      <diagonal/>
    </border>
    <border>
      <left/>
      <right/>
      <top style="thin">
        <color theme="1"/>
      </top>
      <bottom style="thin">
        <color theme="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theme="1"/>
      </left>
      <right style="thin">
        <color theme="1"/>
      </right>
      <top style="thin">
        <color theme="1"/>
      </top>
      <bottom/>
      <diagonal/>
    </border>
    <border>
      <left/>
      <right style="thin">
        <color theme="1"/>
      </right>
      <top style="thin">
        <color rgb="FF000000"/>
      </top>
      <bottom style="thin">
        <color theme="1"/>
      </bottom>
      <diagonal/>
    </border>
    <border>
      <left style="thin">
        <color theme="1"/>
      </left>
      <right style="thin">
        <color theme="1"/>
      </right>
      <top style="thin">
        <color rgb="FF000000"/>
      </top>
      <bottom style="thin">
        <color theme="1"/>
      </bottom>
      <diagonal/>
    </border>
    <border>
      <left style="thin">
        <color rgb="FF000000"/>
      </left>
      <right style="thin">
        <color rgb="FF000000"/>
      </right>
      <top style="thin">
        <color rgb="FF000000"/>
      </top>
      <bottom/>
      <diagonal/>
    </border>
    <border>
      <left style="thin">
        <color rgb="FF000000"/>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style="thin">
        <color rgb="FF000000"/>
      </left>
      <right style="thin">
        <color theme="1"/>
      </right>
      <top/>
      <bottom style="thin">
        <color theme="1"/>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theme="1"/>
      </left>
      <right/>
      <top style="thin">
        <color theme="1"/>
      </top>
      <bottom/>
      <diagonal/>
    </border>
    <border>
      <left style="medium">
        <color theme="5"/>
      </left>
      <right style="medium">
        <color theme="5"/>
      </right>
      <top style="medium">
        <color theme="5"/>
      </top>
      <bottom style="thin">
        <color rgb="FF000000"/>
      </bottom>
      <diagonal/>
    </border>
    <border>
      <left style="medium">
        <color theme="5"/>
      </left>
      <right style="medium">
        <color theme="5"/>
      </right>
      <top style="thin">
        <color rgb="FF000000"/>
      </top>
      <bottom style="thin">
        <color rgb="FF000000"/>
      </bottom>
      <diagonal/>
    </border>
    <border>
      <left style="medium">
        <color theme="5"/>
      </left>
      <right style="medium">
        <color theme="5"/>
      </right>
      <top style="thin">
        <color rgb="FF000000"/>
      </top>
      <bottom style="medium">
        <color theme="5"/>
      </bottom>
      <diagonal/>
    </border>
    <border>
      <left style="medium">
        <color theme="5"/>
      </left>
      <right style="medium">
        <color theme="5"/>
      </right>
      <top/>
      <bottom/>
      <diagonal/>
    </border>
    <border>
      <left style="medium">
        <color theme="5"/>
      </left>
      <right style="medium">
        <color theme="5"/>
      </right>
      <top style="thin">
        <color rgb="FF000000"/>
      </top>
      <bottom/>
      <diagonal/>
    </border>
    <border>
      <left/>
      <right/>
      <top/>
      <bottom style="thin">
        <color theme="1"/>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theme="1"/>
      </right>
      <top/>
      <bottom/>
      <diagonal/>
    </border>
    <border>
      <left/>
      <right style="thin">
        <color rgb="FF000000"/>
      </right>
      <top/>
      <bottom style="thin">
        <color rgb="FF000000"/>
      </bottom>
      <diagonal/>
    </border>
    <border>
      <left style="medium">
        <color theme="5"/>
      </left>
      <right style="medium">
        <color theme="5"/>
      </right>
      <top style="thin">
        <color theme="1"/>
      </top>
      <bottom style="medium">
        <color theme="5"/>
      </bottom>
      <diagonal/>
    </border>
    <border>
      <left style="medium">
        <color theme="5"/>
      </left>
      <right style="medium">
        <color theme="5"/>
      </right>
      <top style="thin">
        <color theme="1"/>
      </top>
      <bottom style="thin">
        <color theme="1"/>
      </bottom>
      <diagonal/>
    </border>
    <border>
      <left style="medium">
        <color theme="5"/>
      </left>
      <right style="medium">
        <color theme="5"/>
      </right>
      <top/>
      <bottom style="thin">
        <color rgb="FF000000"/>
      </bottom>
      <diagonal/>
    </border>
    <border>
      <left style="thin">
        <color rgb="FF000000"/>
      </left>
      <right style="thin">
        <color theme="1"/>
      </right>
      <top style="thin">
        <color theme="1"/>
      </top>
      <bottom/>
      <diagonal/>
    </border>
    <border>
      <left style="medium">
        <color theme="5"/>
      </left>
      <right style="medium">
        <color theme="5"/>
      </right>
      <top style="medium">
        <color theme="5"/>
      </top>
      <bottom style="thin">
        <color theme="5"/>
      </bottom>
      <diagonal/>
    </border>
    <border>
      <left style="thin">
        <color rgb="FF000000"/>
      </left>
      <right style="thin">
        <color rgb="FF000000"/>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E8E8E8"/>
      </right>
      <top/>
      <bottom/>
      <diagonal/>
    </border>
    <border>
      <left style="thin">
        <color rgb="FF000000"/>
      </left>
      <right/>
      <top/>
      <bottom/>
      <diagonal/>
    </border>
    <border>
      <left style="thin">
        <color indexed="64"/>
      </left>
      <right/>
      <top style="thin">
        <color indexed="64"/>
      </top>
      <bottom/>
      <diagonal/>
    </border>
    <border>
      <left/>
      <right style="thin">
        <color rgb="FF000000"/>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top style="thin">
        <color theme="2"/>
      </top>
      <bottom style="thin">
        <color theme="2"/>
      </bottom>
      <diagonal/>
    </border>
  </borders>
  <cellStyleXfs count="1">
    <xf numFmtId="0" fontId="0" fillId="0" borderId="0"/>
  </cellStyleXfs>
  <cellXfs count="637">
    <xf numFmtId="0" fontId="0" fillId="0" borderId="0" xfId="0"/>
    <xf numFmtId="0" fontId="0" fillId="0" borderId="1" xfId="0" applyBorder="1"/>
    <xf numFmtId="0" fontId="0" fillId="0" borderId="2" xfId="0" applyBorder="1"/>
    <xf numFmtId="0" fontId="0" fillId="2" borderId="2" xfId="0" applyFill="1" applyBorder="1" applyAlignment="1">
      <alignment horizontal="center"/>
    </xf>
    <xf numFmtId="0" fontId="0" fillId="2" borderId="2" xfId="0" applyFill="1" applyBorder="1"/>
    <xf numFmtId="0" fontId="0" fillId="2" borderId="5" xfId="0" applyFill="1" applyBorder="1" applyAlignment="1">
      <alignment horizontal="center"/>
    </xf>
    <xf numFmtId="0" fontId="0" fillId="2" borderId="5" xfId="0" applyFill="1" applyBorder="1"/>
    <xf numFmtId="0" fontId="0" fillId="2" borderId="6" xfId="0" applyFill="1" applyBorder="1"/>
    <xf numFmtId="0" fontId="1" fillId="2" borderId="6" xfId="0" applyFont="1" applyFill="1" applyBorder="1" applyAlignment="1">
      <alignment horizontal="center"/>
    </xf>
    <xf numFmtId="0" fontId="0" fillId="2" borderId="4" xfId="0" applyFill="1" applyBorder="1" applyAlignment="1">
      <alignment horizontal="center"/>
    </xf>
    <xf numFmtId="0" fontId="0" fillId="0" borderId="7" xfId="0" applyBorder="1"/>
    <xf numFmtId="0" fontId="0" fillId="2" borderId="0" xfId="0" applyFill="1" applyAlignment="1">
      <alignment horizontal="center"/>
    </xf>
    <xf numFmtId="0" fontId="0" fillId="2" borderId="0" xfId="0" applyFill="1"/>
    <xf numFmtId="0" fontId="1" fillId="2" borderId="0" xfId="0" applyFont="1" applyFill="1" applyAlignment="1">
      <alignment horizontal="center"/>
    </xf>
    <xf numFmtId="10" fontId="0" fillId="5" borderId="0" xfId="0" applyNumberFormat="1" applyFill="1"/>
    <xf numFmtId="44" fontId="1" fillId="7" borderId="11" xfId="0" applyNumberFormat="1" applyFont="1" applyFill="1" applyBorder="1" applyAlignment="1">
      <alignment horizontal="center"/>
    </xf>
    <xf numFmtId="44" fontId="1" fillId="7" borderId="15" xfId="0" applyNumberFormat="1" applyFont="1" applyFill="1" applyBorder="1" applyAlignment="1">
      <alignment horizontal="center"/>
    </xf>
    <xf numFmtId="0" fontId="0" fillId="2" borderId="1" xfId="0" applyFill="1" applyBorder="1"/>
    <xf numFmtId="44" fontId="0" fillId="2" borderId="17" xfId="0" applyNumberFormat="1" applyFill="1" applyBorder="1" applyAlignment="1">
      <alignment horizontal="center"/>
    </xf>
    <xf numFmtId="44" fontId="1" fillId="2" borderId="17" xfId="0" applyNumberFormat="1" applyFont="1" applyFill="1" applyBorder="1" applyAlignment="1">
      <alignment horizontal="center"/>
    </xf>
    <xf numFmtId="0" fontId="1" fillId="2" borderId="9" xfId="0" applyFont="1" applyFill="1" applyBorder="1" applyAlignment="1">
      <alignment horizontal="center"/>
    </xf>
    <xf numFmtId="0" fontId="1" fillId="2" borderId="2" xfId="0" applyFont="1" applyFill="1" applyBorder="1" applyAlignment="1">
      <alignment horizontal="center"/>
    </xf>
    <xf numFmtId="0" fontId="2" fillId="0" borderId="0" xfId="0" applyFont="1"/>
    <xf numFmtId="10" fontId="0" fillId="2" borderId="0" xfId="0" applyNumberFormat="1" applyFill="1" applyAlignment="1">
      <alignment horizontal="center"/>
    </xf>
    <xf numFmtId="10" fontId="1" fillId="2" borderId="0" xfId="0" applyNumberFormat="1" applyFont="1" applyFill="1" applyAlignment="1">
      <alignment horizontal="center"/>
    </xf>
    <xf numFmtId="44" fontId="0" fillId="0" borderId="0" xfId="0" applyNumberFormat="1"/>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2" fillId="0" borderId="0" xfId="0" applyFont="1" applyAlignment="1">
      <alignment wrapText="1"/>
    </xf>
    <xf numFmtId="0" fontId="8" fillId="0" borderId="0" xfId="0" applyFont="1"/>
    <xf numFmtId="0" fontId="3" fillId="10" borderId="0" xfId="0" applyFont="1" applyFill="1"/>
    <xf numFmtId="0" fontId="0" fillId="10" borderId="0" xfId="0" applyFill="1"/>
    <xf numFmtId="44" fontId="1" fillId="11" borderId="0" xfId="0" applyNumberFormat="1" applyFont="1" applyFill="1"/>
    <xf numFmtId="0" fontId="3" fillId="0" borderId="0" xfId="0" applyFont="1"/>
    <xf numFmtId="0" fontId="9" fillId="11" borderId="0" xfId="0" applyFont="1" applyFill="1"/>
    <xf numFmtId="0" fontId="1" fillId="11" borderId="0" xfId="0" applyFont="1" applyFill="1"/>
    <xf numFmtId="2" fontId="1" fillId="11" borderId="0" xfId="0" applyNumberFormat="1" applyFont="1" applyFill="1"/>
    <xf numFmtId="0" fontId="1" fillId="0" borderId="0" xfId="0" applyFont="1"/>
    <xf numFmtId="0" fontId="10" fillId="0" borderId="0" xfId="0" applyFont="1"/>
    <xf numFmtId="0" fontId="11" fillId="10" borderId="0" xfId="0" applyFont="1" applyFill="1"/>
    <xf numFmtId="0" fontId="9" fillId="12" borderId="0" xfId="0" applyFont="1" applyFill="1"/>
    <xf numFmtId="0" fontId="0" fillId="12" borderId="0" xfId="0" applyFill="1"/>
    <xf numFmtId="44" fontId="1" fillId="12" borderId="0" xfId="0" applyNumberFormat="1" applyFont="1" applyFill="1"/>
    <xf numFmtId="0" fontId="1" fillId="12" borderId="0" xfId="0" applyFont="1" applyFill="1"/>
    <xf numFmtId="2" fontId="1" fillId="12" borderId="0" xfId="0" applyNumberFormat="1" applyFont="1" applyFill="1" applyAlignment="1">
      <alignment wrapText="1"/>
    </xf>
    <xf numFmtId="0" fontId="5" fillId="10" borderId="0" xfId="0" applyFont="1" applyFill="1"/>
    <xf numFmtId="0" fontId="1" fillId="2" borderId="0" xfId="0" applyFont="1" applyFill="1"/>
    <xf numFmtId="0" fontId="14" fillId="0" borderId="2" xfId="0" applyFont="1" applyBorder="1" applyAlignment="1">
      <alignment wrapText="1"/>
    </xf>
    <xf numFmtId="0" fontId="0" fillId="2" borderId="3" xfId="0" applyFill="1" applyBorder="1"/>
    <xf numFmtId="0" fontId="1" fillId="2" borderId="3" xfId="0" applyFont="1" applyFill="1" applyBorder="1" applyAlignment="1">
      <alignment horizontal="center"/>
    </xf>
    <xf numFmtId="0" fontId="2" fillId="0" borderId="4" xfId="0" applyFont="1" applyBorder="1" applyAlignment="1">
      <alignment vertical="center"/>
    </xf>
    <xf numFmtId="0" fontId="3" fillId="10" borderId="26" xfId="0" applyFont="1" applyFill="1" applyBorder="1" applyAlignment="1">
      <alignment horizontal="center" vertical="center"/>
    </xf>
    <xf numFmtId="0" fontId="3" fillId="10" borderId="27" xfId="0" applyFont="1" applyFill="1" applyBorder="1" applyAlignment="1">
      <alignment horizontal="center" vertical="center"/>
    </xf>
    <xf numFmtId="0" fontId="3" fillId="0" borderId="26" xfId="0" applyFont="1" applyBorder="1" applyAlignment="1">
      <alignment horizontal="center" vertical="center"/>
    </xf>
    <xf numFmtId="0" fontId="3" fillId="4" borderId="26" xfId="0" applyFont="1" applyFill="1" applyBorder="1" applyAlignment="1">
      <alignment horizontal="center" vertical="center" wrapText="1"/>
    </xf>
    <xf numFmtId="0" fontId="15" fillId="5" borderId="26" xfId="0" applyFont="1" applyFill="1" applyBorder="1"/>
    <xf numFmtId="10" fontId="0" fillId="6" borderId="21" xfId="0" applyNumberFormat="1" applyFill="1" applyBorder="1" applyAlignment="1">
      <alignment horizontal="center"/>
    </xf>
    <xf numFmtId="10" fontId="0" fillId="6" borderId="28" xfId="0" applyNumberFormat="1" applyFill="1" applyBorder="1" applyAlignment="1">
      <alignment horizontal="center"/>
    </xf>
    <xf numFmtId="10" fontId="0" fillId="6" borderId="28" xfId="0" applyNumberFormat="1" applyFill="1" applyBorder="1"/>
    <xf numFmtId="0" fontId="1" fillId="0" borderId="26" xfId="0" applyFont="1" applyBorder="1"/>
    <xf numFmtId="167" fontId="0" fillId="2" borderId="29" xfId="0" applyNumberFormat="1" applyFill="1" applyBorder="1" applyAlignment="1">
      <alignment horizontal="center"/>
    </xf>
    <xf numFmtId="167" fontId="0" fillId="2" borderId="30" xfId="0" applyNumberFormat="1" applyFill="1" applyBorder="1" applyAlignment="1">
      <alignment horizontal="center"/>
    </xf>
    <xf numFmtId="167" fontId="0" fillId="5" borderId="0" xfId="0" applyNumberFormat="1" applyFill="1"/>
    <xf numFmtId="167" fontId="1" fillId="4" borderId="26" xfId="0" applyNumberFormat="1" applyFont="1" applyFill="1" applyBorder="1" applyAlignment="1">
      <alignment horizontal="center"/>
    </xf>
    <xf numFmtId="0" fontId="1" fillId="5" borderId="26" xfId="0" applyFont="1" applyFill="1" applyBorder="1"/>
    <xf numFmtId="167" fontId="1" fillId="5" borderId="18" xfId="0" applyNumberFormat="1" applyFont="1" applyFill="1" applyBorder="1" applyAlignment="1">
      <alignment horizontal="center"/>
    </xf>
    <xf numFmtId="167" fontId="1" fillId="5" borderId="11" xfId="0" applyNumberFormat="1" applyFont="1" applyFill="1" applyBorder="1" applyAlignment="1">
      <alignment horizontal="center"/>
    </xf>
    <xf numFmtId="167" fontId="1" fillId="5" borderId="0" xfId="0" applyNumberFormat="1" applyFont="1" applyFill="1"/>
    <xf numFmtId="167" fontId="1" fillId="5" borderId="26" xfId="0" applyNumberFormat="1" applyFont="1" applyFill="1" applyBorder="1" applyAlignment="1">
      <alignment horizontal="center"/>
    </xf>
    <xf numFmtId="0" fontId="1" fillId="7" borderId="26" xfId="0" applyFont="1" applyFill="1" applyBorder="1"/>
    <xf numFmtId="44" fontId="1" fillId="7" borderId="18" xfId="0" applyNumberFormat="1" applyFont="1" applyFill="1" applyBorder="1" applyAlignment="1">
      <alignment horizontal="center"/>
    </xf>
    <xf numFmtId="44" fontId="1" fillId="7" borderId="26" xfId="0" applyNumberFormat="1" applyFont="1" applyFill="1" applyBorder="1" applyAlignment="1">
      <alignment horizontal="center"/>
    </xf>
    <xf numFmtId="0" fontId="1" fillId="2" borderId="16" xfId="0" applyFont="1" applyFill="1" applyBorder="1"/>
    <xf numFmtId="0" fontId="1" fillId="5" borderId="4" xfId="0" applyFont="1" applyFill="1" applyBorder="1"/>
    <xf numFmtId="0" fontId="0" fillId="0" borderId="18" xfId="0" applyBorder="1"/>
    <xf numFmtId="167" fontId="0" fillId="3" borderId="15" xfId="0" applyNumberFormat="1" applyFill="1" applyBorder="1" applyAlignment="1">
      <alignment horizontal="center"/>
    </xf>
    <xf numFmtId="167" fontId="0" fillId="2" borderId="12" xfId="0" applyNumberFormat="1" applyFill="1" applyBorder="1" applyAlignment="1">
      <alignment horizontal="center"/>
    </xf>
    <xf numFmtId="167" fontId="1" fillId="4" borderId="31" xfId="0" applyNumberFormat="1" applyFont="1" applyFill="1" applyBorder="1" applyAlignment="1">
      <alignment horizontal="center"/>
    </xf>
    <xf numFmtId="0" fontId="1" fillId="5" borderId="18" xfId="0" applyFont="1" applyFill="1" applyBorder="1"/>
    <xf numFmtId="167" fontId="0" fillId="5" borderId="11" xfId="0" applyNumberFormat="1" applyFill="1" applyBorder="1" applyAlignment="1">
      <alignment horizontal="center"/>
    </xf>
    <xf numFmtId="167" fontId="0" fillId="5" borderId="15" xfId="0" applyNumberFormat="1" applyFill="1" applyBorder="1" applyAlignment="1">
      <alignment horizontal="center"/>
    </xf>
    <xf numFmtId="0" fontId="1" fillId="13" borderId="26" xfId="0" applyFont="1" applyFill="1" applyBorder="1"/>
    <xf numFmtId="168" fontId="1" fillId="13" borderId="26" xfId="0" applyNumberFormat="1" applyFont="1" applyFill="1" applyBorder="1" applyAlignment="1">
      <alignment horizontal="center"/>
    </xf>
    <xf numFmtId="0" fontId="1" fillId="8" borderId="32" xfId="0" applyFont="1" applyFill="1" applyBorder="1"/>
    <xf numFmtId="10" fontId="1" fillId="8" borderId="11" xfId="0" applyNumberFormat="1" applyFont="1" applyFill="1" applyBorder="1" applyAlignment="1">
      <alignment horizontal="center"/>
    </xf>
    <xf numFmtId="0" fontId="0" fillId="0" borderId="26" xfId="0" applyBorder="1"/>
    <xf numFmtId="167" fontId="0" fillId="2" borderId="18" xfId="0" applyNumberFormat="1" applyFill="1" applyBorder="1" applyAlignment="1">
      <alignment horizontal="center"/>
    </xf>
    <xf numFmtId="167" fontId="0" fillId="2" borderId="11" xfId="0" applyNumberFormat="1" applyFill="1" applyBorder="1" applyAlignment="1">
      <alignment horizontal="center"/>
    </xf>
    <xf numFmtId="167" fontId="0" fillId="0" borderId="1" xfId="0" applyNumberFormat="1" applyBorder="1"/>
    <xf numFmtId="0" fontId="0" fillId="0" borderId="19" xfId="0" applyBorder="1"/>
    <xf numFmtId="0" fontId="0" fillId="0" borderId="11" xfId="0" applyBorder="1"/>
    <xf numFmtId="0" fontId="0" fillId="9" borderId="0" xfId="0" applyFill="1"/>
    <xf numFmtId="0" fontId="0" fillId="2" borderId="11" xfId="0" applyFill="1" applyBorder="1"/>
    <xf numFmtId="167" fontId="0" fillId="2" borderId="28" xfId="0" applyNumberFormat="1" applyFill="1" applyBorder="1" applyAlignment="1">
      <alignment horizontal="center"/>
    </xf>
    <xf numFmtId="0" fontId="0" fillId="0" borderId="15" xfId="0" applyBorder="1"/>
    <xf numFmtId="167" fontId="0" fillId="2" borderId="26" xfId="0" applyNumberFormat="1" applyFill="1" applyBorder="1" applyAlignment="1">
      <alignment horizontal="center"/>
    </xf>
    <xf numFmtId="167" fontId="0" fillId="3" borderId="24" xfId="0" applyNumberFormat="1" applyFill="1" applyBorder="1" applyAlignment="1">
      <alignment horizontal="center"/>
    </xf>
    <xf numFmtId="0" fontId="1" fillId="5" borderId="20" xfId="0" applyFont="1" applyFill="1" applyBorder="1"/>
    <xf numFmtId="167" fontId="0" fillId="5" borderId="26" xfId="0" applyNumberFormat="1" applyFill="1" applyBorder="1" applyAlignment="1">
      <alignment horizontal="center"/>
    </xf>
    <xf numFmtId="167" fontId="0" fillId="14" borderId="20" xfId="0" applyNumberFormat="1" applyFill="1" applyBorder="1" applyAlignment="1">
      <alignment horizontal="center"/>
    </xf>
    <xf numFmtId="0" fontId="1" fillId="5" borderId="22" xfId="0" applyFont="1" applyFill="1" applyBorder="1"/>
    <xf numFmtId="167" fontId="0" fillId="2" borderId="0" xfId="0" applyNumberFormat="1" applyFill="1" applyAlignment="1">
      <alignment horizontal="center"/>
    </xf>
    <xf numFmtId="167" fontId="1" fillId="2" borderId="0" xfId="0" applyNumberFormat="1" applyFont="1" applyFill="1" applyAlignment="1">
      <alignment horizontal="center"/>
    </xf>
    <xf numFmtId="0" fontId="0" fillId="2" borderId="33" xfId="0" applyFill="1" applyBorder="1"/>
    <xf numFmtId="167" fontId="0" fillId="3" borderId="26" xfId="0" applyNumberFormat="1" applyFill="1" applyBorder="1" applyAlignment="1">
      <alignment horizontal="center"/>
    </xf>
    <xf numFmtId="0" fontId="1" fillId="5" borderId="33" xfId="0" applyFont="1" applyFill="1" applyBorder="1"/>
    <xf numFmtId="167" fontId="0" fillId="5" borderId="26" xfId="0" applyNumberFormat="1" applyFill="1" applyBorder="1"/>
    <xf numFmtId="167" fontId="1" fillId="5" borderId="26" xfId="0" applyNumberFormat="1" applyFont="1" applyFill="1" applyBorder="1"/>
    <xf numFmtId="0" fontId="15" fillId="13" borderId="13" xfId="0" applyFont="1" applyFill="1" applyBorder="1"/>
    <xf numFmtId="0" fontId="1" fillId="8" borderId="11" xfId="0" applyFont="1" applyFill="1" applyBorder="1"/>
    <xf numFmtId="10" fontId="1" fillId="8" borderId="13" xfId="0" applyNumberFormat="1" applyFont="1" applyFill="1" applyBorder="1" applyAlignment="1">
      <alignment horizontal="center"/>
    </xf>
    <xf numFmtId="0" fontId="1" fillId="7" borderId="7" xfId="0" applyFont="1" applyFill="1" applyBorder="1"/>
    <xf numFmtId="0" fontId="1" fillId="2" borderId="8" xfId="0" applyFont="1" applyFill="1" applyBorder="1" applyAlignment="1">
      <alignment horizontal="center"/>
    </xf>
    <xf numFmtId="0" fontId="0" fillId="2" borderId="9" xfId="0" applyFill="1" applyBorder="1"/>
    <xf numFmtId="0" fontId="0" fillId="2" borderId="9" xfId="0" applyFill="1" applyBorder="1" applyAlignment="1">
      <alignment horizontal="center"/>
    </xf>
    <xf numFmtId="167" fontId="0" fillId="0" borderId="0" xfId="0" applyNumberFormat="1"/>
    <xf numFmtId="167" fontId="1" fillId="11" borderId="0" xfId="0" applyNumberFormat="1" applyFont="1" applyFill="1"/>
    <xf numFmtId="167" fontId="1" fillId="0" borderId="0" xfId="0" applyNumberFormat="1" applyFont="1"/>
    <xf numFmtId="167" fontId="1" fillId="10" borderId="0" xfId="0" applyNumberFormat="1" applyFont="1" applyFill="1"/>
    <xf numFmtId="167" fontId="12" fillId="10" borderId="0" xfId="0" applyNumberFormat="1" applyFont="1" applyFill="1"/>
    <xf numFmtId="167" fontId="0" fillId="12" borderId="0" xfId="0" applyNumberFormat="1" applyFill="1"/>
    <xf numFmtId="167" fontId="1" fillId="12" borderId="0" xfId="0" applyNumberFormat="1" applyFont="1" applyFill="1"/>
    <xf numFmtId="0" fontId="12" fillId="0" borderId="0" xfId="0" applyFont="1" applyAlignment="1">
      <alignment horizontal="center" wrapText="1"/>
    </xf>
    <xf numFmtId="10" fontId="1" fillId="8" borderId="0" xfId="0" applyNumberFormat="1" applyFont="1" applyFill="1" applyAlignment="1">
      <alignment horizontal="center"/>
    </xf>
    <xf numFmtId="0" fontId="1" fillId="0" borderId="22" xfId="0" applyFont="1" applyBorder="1"/>
    <xf numFmtId="0" fontId="0" fillId="0" borderId="22" xfId="0" applyBorder="1"/>
    <xf numFmtId="0" fontId="1" fillId="16" borderId="22" xfId="0" applyFont="1" applyFill="1" applyBorder="1"/>
    <xf numFmtId="10" fontId="1" fillId="8" borderId="18" xfId="0" applyNumberFormat="1" applyFont="1" applyFill="1" applyBorder="1" applyAlignment="1">
      <alignment horizontal="center"/>
    </xf>
    <xf numFmtId="0" fontId="1" fillId="13" borderId="22" xfId="0" applyFont="1" applyFill="1" applyBorder="1"/>
    <xf numFmtId="0" fontId="1" fillId="8" borderId="22" xfId="0" applyFont="1" applyFill="1" applyBorder="1"/>
    <xf numFmtId="0" fontId="1" fillId="5" borderId="19" xfId="0" applyFont="1" applyFill="1" applyBorder="1"/>
    <xf numFmtId="0" fontId="1" fillId="18" borderId="22" xfId="0" applyFont="1" applyFill="1" applyBorder="1"/>
    <xf numFmtId="10" fontId="1" fillId="8" borderId="22" xfId="0" applyNumberFormat="1" applyFont="1" applyFill="1" applyBorder="1" applyAlignment="1">
      <alignment horizontal="center"/>
    </xf>
    <xf numFmtId="0" fontId="3" fillId="4" borderId="0" xfId="0" applyFont="1" applyFill="1" applyAlignment="1">
      <alignment horizontal="center" vertical="center" wrapText="1"/>
    </xf>
    <xf numFmtId="167" fontId="1" fillId="4" borderId="0" xfId="0" applyNumberFormat="1" applyFont="1" applyFill="1" applyAlignment="1">
      <alignment horizontal="center"/>
    </xf>
    <xf numFmtId="167" fontId="1" fillId="5" borderId="0" xfId="0" applyNumberFormat="1" applyFont="1" applyFill="1" applyAlignment="1">
      <alignment horizontal="center"/>
    </xf>
    <xf numFmtId="44" fontId="1" fillId="7" borderId="0" xfId="0" applyNumberFormat="1" applyFont="1" applyFill="1" applyAlignment="1">
      <alignment horizontal="center"/>
    </xf>
    <xf numFmtId="168" fontId="1" fillId="13" borderId="0" xfId="0" applyNumberFormat="1" applyFont="1" applyFill="1" applyAlignment="1">
      <alignment horizontal="center"/>
    </xf>
    <xf numFmtId="167" fontId="0" fillId="4" borderId="0" xfId="0" applyNumberFormat="1" applyFill="1" applyAlignment="1">
      <alignment horizontal="center"/>
    </xf>
    <xf numFmtId="167" fontId="0" fillId="16" borderId="0" xfId="0" applyNumberFormat="1" applyFill="1" applyAlignment="1">
      <alignment horizontal="center"/>
    </xf>
    <xf numFmtId="42" fontId="18" fillId="17" borderId="0" xfId="0" applyNumberFormat="1" applyFont="1" applyFill="1" applyAlignment="1">
      <alignment horizontal="center"/>
    </xf>
    <xf numFmtId="42" fontId="16" fillId="15" borderId="26" xfId="0" applyNumberFormat="1" applyFont="1" applyFill="1" applyBorder="1"/>
    <xf numFmtId="42" fontId="16" fillId="15" borderId="26" xfId="0" applyNumberFormat="1" applyFont="1" applyFill="1" applyBorder="1" applyAlignment="1">
      <alignment horizontal="center"/>
    </xf>
    <xf numFmtId="167" fontId="1" fillId="18" borderId="0" xfId="0" applyNumberFormat="1" applyFont="1" applyFill="1"/>
    <xf numFmtId="0" fontId="17" fillId="0" borderId="22" xfId="0" applyFont="1" applyBorder="1"/>
    <xf numFmtId="10" fontId="0" fillId="0" borderId="2" xfId="0" applyNumberFormat="1" applyBorder="1"/>
    <xf numFmtId="10" fontId="2" fillId="0" borderId="4" xfId="0" applyNumberFormat="1" applyFont="1" applyBorder="1" applyAlignment="1">
      <alignment vertical="center"/>
    </xf>
    <xf numFmtId="10" fontId="0" fillId="0" borderId="7" xfId="0" applyNumberFormat="1" applyBorder="1"/>
    <xf numFmtId="10" fontId="0" fillId="0" borderId="1" xfId="0" applyNumberFormat="1" applyBorder="1"/>
    <xf numFmtId="10" fontId="0" fillId="2" borderId="1" xfId="0" applyNumberFormat="1" applyFill="1" applyBorder="1"/>
    <xf numFmtId="10" fontId="0" fillId="2" borderId="2" xfId="0" applyNumberFormat="1" applyFill="1" applyBorder="1"/>
    <xf numFmtId="10" fontId="0" fillId="0" borderId="0" xfId="0" applyNumberFormat="1"/>
    <xf numFmtId="168" fontId="1" fillId="13" borderId="25" xfId="0" applyNumberFormat="1" applyFont="1" applyFill="1" applyBorder="1" applyAlignment="1">
      <alignment horizontal="center"/>
    </xf>
    <xf numFmtId="0" fontId="1" fillId="8" borderId="35" xfId="0" applyFont="1" applyFill="1" applyBorder="1"/>
    <xf numFmtId="2" fontId="0" fillId="0" borderId="2" xfId="0" applyNumberFormat="1" applyBorder="1"/>
    <xf numFmtId="42" fontId="16" fillId="15" borderId="22" xfId="0" applyNumberFormat="1" applyFont="1" applyFill="1" applyBorder="1" applyAlignment="1">
      <alignment horizontal="center"/>
    </xf>
    <xf numFmtId="167" fontId="1" fillId="5" borderId="36" xfId="0" applyNumberFormat="1" applyFont="1" applyFill="1" applyBorder="1" applyAlignment="1">
      <alignment horizontal="center"/>
    </xf>
    <xf numFmtId="167" fontId="0" fillId="2" borderId="22" xfId="0" applyNumberFormat="1" applyFill="1" applyBorder="1" applyAlignment="1">
      <alignment horizontal="center"/>
    </xf>
    <xf numFmtId="167" fontId="0" fillId="2" borderId="11" xfId="0" applyNumberFormat="1" applyFill="1" applyBorder="1"/>
    <xf numFmtId="167" fontId="0" fillId="2" borderId="12" xfId="0" applyNumberFormat="1" applyFill="1" applyBorder="1"/>
    <xf numFmtId="167" fontId="0" fillId="2" borderId="28" xfId="0" applyNumberFormat="1" applyFill="1" applyBorder="1"/>
    <xf numFmtId="167" fontId="0" fillId="2" borderId="26" xfId="0" applyNumberFormat="1" applyFill="1" applyBorder="1"/>
    <xf numFmtId="167" fontId="1" fillId="5" borderId="15" xfId="0" applyNumberFormat="1" applyFont="1" applyFill="1" applyBorder="1" applyAlignment="1">
      <alignment horizontal="center"/>
    </xf>
    <xf numFmtId="167" fontId="1" fillId="16" borderId="22" xfId="0" applyNumberFormat="1" applyFont="1" applyFill="1" applyBorder="1" applyAlignment="1">
      <alignment horizontal="center"/>
    </xf>
    <xf numFmtId="167" fontId="1" fillId="18" borderId="22" xfId="0" applyNumberFormat="1" applyFont="1" applyFill="1" applyBorder="1" applyAlignment="1">
      <alignment horizontal="center"/>
    </xf>
    <xf numFmtId="42" fontId="16" fillId="15" borderId="25" xfId="0" applyNumberFormat="1" applyFont="1" applyFill="1" applyBorder="1" applyAlignment="1">
      <alignment horizontal="center"/>
    </xf>
    <xf numFmtId="0" fontId="1" fillId="5" borderId="37" xfId="0" applyFont="1" applyFill="1" applyBorder="1"/>
    <xf numFmtId="0" fontId="17" fillId="0" borderId="38" xfId="0" applyFont="1" applyBorder="1"/>
    <xf numFmtId="0" fontId="19" fillId="0" borderId="0" xfId="0" applyFont="1"/>
    <xf numFmtId="169" fontId="1" fillId="9" borderId="7" xfId="0" applyNumberFormat="1" applyFont="1" applyFill="1" applyBorder="1"/>
    <xf numFmtId="169" fontId="1" fillId="9" borderId="1" xfId="0" applyNumberFormat="1" applyFont="1" applyFill="1" applyBorder="1"/>
    <xf numFmtId="0" fontId="3" fillId="0" borderId="4" xfId="0" applyFont="1" applyBorder="1" applyAlignment="1">
      <alignment horizontal="center" vertical="center"/>
    </xf>
    <xf numFmtId="0" fontId="1" fillId="0" borderId="10" xfId="0" applyFont="1" applyBorder="1" applyAlignment="1">
      <alignment horizontal="center"/>
    </xf>
    <xf numFmtId="0" fontId="1" fillId="0" borderId="1" xfId="0" applyFont="1" applyBorder="1" applyAlignment="1">
      <alignment horizontal="center"/>
    </xf>
    <xf numFmtId="0" fontId="1" fillId="0" borderId="23" xfId="0" applyFont="1" applyBorder="1" applyAlignment="1">
      <alignment horizontal="center"/>
    </xf>
    <xf numFmtId="0" fontId="1" fillId="0" borderId="3" xfId="0" applyFont="1" applyBorder="1" applyAlignment="1">
      <alignment horizontal="center"/>
    </xf>
    <xf numFmtId="0" fontId="1" fillId="2" borderId="14" xfId="0" applyFont="1" applyFill="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0" fillId="9" borderId="11" xfId="0" applyFill="1" applyBorder="1"/>
    <xf numFmtId="167" fontId="0" fillId="9" borderId="11" xfId="0" applyNumberFormat="1" applyFill="1" applyBorder="1" applyAlignment="1">
      <alignment horizontal="center"/>
    </xf>
    <xf numFmtId="0" fontId="17" fillId="9" borderId="22" xfId="0" applyFont="1" applyFill="1" applyBorder="1"/>
    <xf numFmtId="42" fontId="16" fillId="9" borderId="26" xfId="0" applyNumberFormat="1" applyFont="1" applyFill="1" applyBorder="1"/>
    <xf numFmtId="166" fontId="0" fillId="2" borderId="5" xfId="0" applyNumberFormat="1" applyFill="1" applyBorder="1" applyAlignment="1">
      <alignment horizontal="center"/>
    </xf>
    <xf numFmtId="166" fontId="0" fillId="2" borderId="5" xfId="0" applyNumberFormat="1" applyFill="1" applyBorder="1"/>
    <xf numFmtId="42" fontId="16" fillId="2" borderId="26" xfId="0" applyNumberFormat="1" applyFont="1" applyFill="1" applyBorder="1"/>
    <xf numFmtId="0" fontId="1" fillId="9" borderId="22" xfId="0" applyFont="1" applyFill="1" applyBorder="1"/>
    <xf numFmtId="167" fontId="0" fillId="9" borderId="22" xfId="0" applyNumberFormat="1" applyFill="1" applyBorder="1" applyAlignment="1">
      <alignment horizontal="center"/>
    </xf>
    <xf numFmtId="0" fontId="22" fillId="10" borderId="39" xfId="0" applyFont="1" applyFill="1" applyBorder="1" applyAlignment="1">
      <alignment horizontal="center" wrapText="1"/>
    </xf>
    <xf numFmtId="0" fontId="22" fillId="10" borderId="40" xfId="0" applyFont="1" applyFill="1" applyBorder="1" applyAlignment="1">
      <alignment horizontal="center" wrapText="1"/>
    </xf>
    <xf numFmtId="0" fontId="22" fillId="4" borderId="41" xfId="0" applyFont="1" applyFill="1" applyBorder="1" applyAlignment="1">
      <alignment horizontal="center" wrapText="1"/>
    </xf>
    <xf numFmtId="0" fontId="22" fillId="19" borderId="22" xfId="0" applyFont="1" applyFill="1" applyBorder="1" applyAlignment="1">
      <alignment horizontal="center" wrapText="1"/>
    </xf>
    <xf numFmtId="0" fontId="22" fillId="19" borderId="39" xfId="0" applyFont="1" applyFill="1" applyBorder="1" applyAlignment="1">
      <alignment horizontal="center" wrapText="1"/>
    </xf>
    <xf numFmtId="10" fontId="0" fillId="0" borderId="16" xfId="0" applyNumberFormat="1" applyBorder="1"/>
    <xf numFmtId="10" fontId="0" fillId="0" borderId="5" xfId="0" applyNumberFormat="1" applyBorder="1"/>
    <xf numFmtId="10" fontId="0" fillId="0" borderId="4" xfId="0" applyNumberFormat="1" applyBorder="1"/>
    <xf numFmtId="0" fontId="0" fillId="19" borderId="27" xfId="0" applyFill="1" applyBorder="1"/>
    <xf numFmtId="0" fontId="1" fillId="7" borderId="16" xfId="0" applyFont="1" applyFill="1" applyBorder="1"/>
    <xf numFmtId="44" fontId="1" fillId="7" borderId="28" xfId="0" applyNumberFormat="1" applyFont="1" applyFill="1" applyBorder="1" applyAlignment="1">
      <alignment horizontal="center"/>
    </xf>
    <xf numFmtId="44" fontId="1" fillId="7" borderId="42" xfId="0" applyNumberFormat="1" applyFont="1" applyFill="1" applyBorder="1" applyAlignment="1">
      <alignment horizontal="center"/>
    </xf>
    <xf numFmtId="0" fontId="0" fillId="0" borderId="36" xfId="0" applyBorder="1"/>
    <xf numFmtId="165" fontId="1" fillId="0" borderId="3" xfId="0" applyNumberFormat="1" applyFont="1" applyBorder="1" applyAlignment="1">
      <alignment horizontal="center"/>
    </xf>
    <xf numFmtId="165" fontId="1" fillId="14" borderId="26" xfId="0" applyNumberFormat="1" applyFont="1" applyFill="1" applyBorder="1"/>
    <xf numFmtId="165" fontId="1" fillId="2" borderId="16" xfId="0" applyNumberFormat="1" applyFont="1" applyFill="1" applyBorder="1" applyAlignment="1">
      <alignment horizontal="center"/>
    </xf>
    <xf numFmtId="165" fontId="0" fillId="0" borderId="0" xfId="0" applyNumberFormat="1"/>
    <xf numFmtId="168" fontId="1" fillId="14" borderId="26" xfId="0" applyNumberFormat="1" applyFont="1" applyFill="1" applyBorder="1" applyAlignment="1">
      <alignment horizontal="center"/>
    </xf>
    <xf numFmtId="167" fontId="0" fillId="0" borderId="26" xfId="0" applyNumberFormat="1" applyBorder="1"/>
    <xf numFmtId="165" fontId="0" fillId="0" borderId="26" xfId="0" applyNumberFormat="1" applyBorder="1"/>
    <xf numFmtId="165" fontId="0" fillId="4" borderId="26" xfId="0" applyNumberFormat="1" applyFill="1" applyBorder="1"/>
    <xf numFmtId="0" fontId="3" fillId="10" borderId="26" xfId="0" applyFont="1" applyFill="1" applyBorder="1" applyAlignment="1">
      <alignment horizontal="center" vertical="center" wrapText="1"/>
    </xf>
    <xf numFmtId="0" fontId="3" fillId="19" borderId="26" xfId="0" applyFont="1" applyFill="1" applyBorder="1" applyAlignment="1">
      <alignment horizontal="center" vertical="center" wrapText="1"/>
    </xf>
    <xf numFmtId="42" fontId="16" fillId="2" borderId="22" xfId="0" applyNumberFormat="1" applyFont="1" applyFill="1" applyBorder="1" applyAlignment="1">
      <alignment horizontal="center"/>
    </xf>
    <xf numFmtId="42" fontId="16" fillId="2" borderId="25" xfId="0" applyNumberFormat="1" applyFont="1" applyFill="1" applyBorder="1" applyAlignment="1">
      <alignment horizontal="center"/>
    </xf>
    <xf numFmtId="42" fontId="16" fillId="2" borderId="26" xfId="0" applyNumberFormat="1" applyFont="1" applyFill="1" applyBorder="1" applyAlignment="1">
      <alignment horizontal="center"/>
    </xf>
    <xf numFmtId="9" fontId="0" fillId="19" borderId="22" xfId="0" applyNumberFormat="1" applyFill="1" applyBorder="1" applyAlignment="1">
      <alignment horizontal="center"/>
    </xf>
    <xf numFmtId="9" fontId="16" fillId="19" borderId="22" xfId="0" applyNumberFormat="1" applyFont="1" applyFill="1" applyBorder="1" applyAlignment="1">
      <alignment horizontal="center"/>
    </xf>
    <xf numFmtId="9" fontId="16" fillId="19" borderId="25" xfId="0" applyNumberFormat="1" applyFont="1" applyFill="1" applyBorder="1" applyAlignment="1">
      <alignment horizontal="center"/>
    </xf>
    <xf numFmtId="9" fontId="16" fillId="19" borderId="26" xfId="0" applyNumberFormat="1" applyFont="1" applyFill="1" applyBorder="1" applyAlignment="1">
      <alignment horizontal="center"/>
    </xf>
    <xf numFmtId="9" fontId="0" fillId="19" borderId="18" xfId="0" applyNumberFormat="1" applyFill="1" applyBorder="1" applyAlignment="1">
      <alignment horizontal="center"/>
    </xf>
    <xf numFmtId="9" fontId="0" fillId="19" borderId="26" xfId="0" applyNumberFormat="1" applyFill="1" applyBorder="1" applyAlignment="1">
      <alignment horizontal="center"/>
    </xf>
    <xf numFmtId="165" fontId="0" fillId="2" borderId="22" xfId="0" applyNumberFormat="1" applyFill="1" applyBorder="1" applyAlignment="1">
      <alignment horizontal="center"/>
    </xf>
    <xf numFmtId="165" fontId="0" fillId="2" borderId="26" xfId="0" applyNumberFormat="1" applyFill="1" applyBorder="1" applyAlignment="1">
      <alignment horizontal="center"/>
    </xf>
    <xf numFmtId="165" fontId="0" fillId="0" borderId="22" xfId="0" applyNumberFormat="1" applyBorder="1"/>
    <xf numFmtId="165" fontId="16" fillId="15" borderId="26" xfId="0" applyNumberFormat="1" applyFont="1" applyFill="1" applyBorder="1"/>
    <xf numFmtId="165" fontId="16" fillId="15" borderId="22" xfId="0" applyNumberFormat="1" applyFont="1" applyFill="1" applyBorder="1" applyAlignment="1">
      <alignment horizontal="center"/>
    </xf>
    <xf numFmtId="165" fontId="16" fillId="15" borderId="25" xfId="0" applyNumberFormat="1" applyFont="1" applyFill="1" applyBorder="1" applyAlignment="1">
      <alignment horizontal="center"/>
    </xf>
    <xf numFmtId="165" fontId="16" fillId="15" borderId="26" xfId="0" applyNumberFormat="1" applyFont="1" applyFill="1" applyBorder="1" applyAlignment="1">
      <alignment horizontal="center"/>
    </xf>
    <xf numFmtId="165" fontId="0" fillId="2" borderId="18" xfId="0" applyNumberFormat="1" applyFill="1" applyBorder="1" applyAlignment="1">
      <alignment horizontal="center"/>
    </xf>
    <xf numFmtId="165" fontId="0" fillId="2" borderId="11" xfId="0" applyNumberFormat="1" applyFill="1" applyBorder="1" applyAlignment="1">
      <alignment horizontal="center"/>
    </xf>
    <xf numFmtId="165" fontId="0" fillId="2" borderId="12" xfId="0" applyNumberFormat="1" applyFill="1" applyBorder="1" applyAlignment="1">
      <alignment horizontal="center"/>
    </xf>
    <xf numFmtId="165" fontId="0" fillId="2" borderId="11" xfId="0" applyNumberFormat="1" applyFill="1" applyBorder="1"/>
    <xf numFmtId="165" fontId="0" fillId="2" borderId="12" xfId="0" applyNumberFormat="1" applyFill="1" applyBorder="1"/>
    <xf numFmtId="165" fontId="0" fillId="2" borderId="28" xfId="0" applyNumberFormat="1" applyFill="1" applyBorder="1"/>
    <xf numFmtId="165" fontId="0" fillId="2" borderId="26" xfId="0" applyNumberFormat="1" applyFill="1" applyBorder="1"/>
    <xf numFmtId="10" fontId="0" fillId="0" borderId="2" xfId="0" applyNumberFormat="1" applyBorder="1" applyAlignment="1">
      <alignment horizontal="center"/>
    </xf>
    <xf numFmtId="10" fontId="0" fillId="0" borderId="7" xfId="0" applyNumberFormat="1" applyBorder="1" applyAlignment="1">
      <alignment horizontal="center"/>
    </xf>
    <xf numFmtId="10" fontId="0" fillId="0" borderId="16" xfId="0" applyNumberFormat="1" applyBorder="1" applyAlignment="1">
      <alignment horizontal="center"/>
    </xf>
    <xf numFmtId="10" fontId="0" fillId="0" borderId="0" xfId="0" applyNumberFormat="1" applyAlignment="1">
      <alignment horizontal="center"/>
    </xf>
    <xf numFmtId="10" fontId="0" fillId="2" borderId="1" xfId="0" applyNumberFormat="1" applyFill="1" applyBorder="1" applyAlignment="1">
      <alignment horizontal="center"/>
    </xf>
    <xf numFmtId="10" fontId="0" fillId="2" borderId="2" xfId="0" applyNumberFormat="1" applyFill="1" applyBorder="1" applyAlignment="1">
      <alignment horizontal="center"/>
    </xf>
    <xf numFmtId="10" fontId="0" fillId="0" borderId="5" xfId="0" applyNumberFormat="1" applyBorder="1" applyAlignment="1">
      <alignment horizontal="center"/>
    </xf>
    <xf numFmtId="10" fontId="0" fillId="0" borderId="9" xfId="0" applyNumberFormat="1" applyBorder="1" applyAlignment="1">
      <alignment horizontal="center"/>
    </xf>
    <xf numFmtId="10" fontId="0" fillId="0" borderId="1" xfId="0" applyNumberFormat="1" applyBorder="1" applyAlignment="1">
      <alignment horizontal="center"/>
    </xf>
    <xf numFmtId="10" fontId="0" fillId="0" borderId="4" xfId="0" applyNumberFormat="1" applyBorder="1" applyAlignment="1">
      <alignment horizontal="center"/>
    </xf>
    <xf numFmtId="165" fontId="0" fillId="0" borderId="2" xfId="0" applyNumberFormat="1" applyBorder="1" applyAlignment="1">
      <alignment horizontal="center"/>
    </xf>
    <xf numFmtId="0" fontId="0" fillId="0" borderId="0" xfId="0" applyAlignment="1">
      <alignment horizontal="center"/>
    </xf>
    <xf numFmtId="165" fontId="0" fillId="0" borderId="0" xfId="0" applyNumberFormat="1" applyAlignment="1">
      <alignment horizontal="center"/>
    </xf>
    <xf numFmtId="9" fontId="0" fillId="20" borderId="22" xfId="0" applyNumberFormat="1" applyFill="1" applyBorder="1" applyAlignment="1">
      <alignment horizontal="center"/>
    </xf>
    <xf numFmtId="9" fontId="0" fillId="20" borderId="18" xfId="0" applyNumberFormat="1" applyFill="1" applyBorder="1" applyAlignment="1">
      <alignment horizontal="center"/>
    </xf>
    <xf numFmtId="9" fontId="16" fillId="20" borderId="22" xfId="0" applyNumberFormat="1" applyFont="1" applyFill="1" applyBorder="1" applyAlignment="1">
      <alignment horizontal="center"/>
    </xf>
    <xf numFmtId="167" fontId="0" fillId="2" borderId="18" xfId="0" applyNumberFormat="1" applyFill="1" applyBorder="1"/>
    <xf numFmtId="167" fontId="0" fillId="2" borderId="19" xfId="0" applyNumberFormat="1" applyFill="1" applyBorder="1"/>
    <xf numFmtId="0" fontId="0" fillId="0" borderId="28" xfId="0" applyBorder="1"/>
    <xf numFmtId="0" fontId="0" fillId="0" borderId="12" xfId="0" applyBorder="1"/>
    <xf numFmtId="9" fontId="0" fillId="9" borderId="22" xfId="0" applyNumberFormat="1" applyFill="1" applyBorder="1" applyAlignment="1">
      <alignment horizontal="center"/>
    </xf>
    <xf numFmtId="165" fontId="0" fillId="9" borderId="22" xfId="0" applyNumberFormat="1" applyFill="1" applyBorder="1" applyAlignment="1">
      <alignment horizontal="center"/>
    </xf>
    <xf numFmtId="42" fontId="16" fillId="9" borderId="26" xfId="0" applyNumberFormat="1" applyFont="1" applyFill="1" applyBorder="1" applyAlignment="1">
      <alignment horizontal="center"/>
    </xf>
    <xf numFmtId="167" fontId="1" fillId="5" borderId="27" xfId="0" applyNumberFormat="1" applyFont="1" applyFill="1" applyBorder="1" applyAlignment="1">
      <alignment horizontal="center"/>
    </xf>
    <xf numFmtId="168" fontId="1" fillId="13" borderId="27" xfId="0" applyNumberFormat="1" applyFont="1" applyFill="1" applyBorder="1" applyAlignment="1">
      <alignment horizontal="center"/>
    </xf>
    <xf numFmtId="10" fontId="1" fillId="8" borderId="15" xfId="0" applyNumberFormat="1" applyFont="1" applyFill="1" applyBorder="1" applyAlignment="1">
      <alignment horizontal="center"/>
    </xf>
    <xf numFmtId="0" fontId="3" fillId="0" borderId="27" xfId="0" applyFont="1" applyBorder="1" applyAlignment="1">
      <alignment horizontal="center" vertical="center"/>
    </xf>
    <xf numFmtId="10" fontId="1" fillId="8" borderId="24" xfId="0" applyNumberFormat="1" applyFont="1" applyFill="1" applyBorder="1" applyAlignment="1">
      <alignment horizontal="center"/>
    </xf>
    <xf numFmtId="167" fontId="1" fillId="16" borderId="33" xfId="0" applyNumberFormat="1" applyFont="1" applyFill="1" applyBorder="1" applyAlignment="1">
      <alignment horizontal="center"/>
    </xf>
    <xf numFmtId="167" fontId="1" fillId="18" borderId="33" xfId="0" applyNumberFormat="1" applyFont="1" applyFill="1" applyBorder="1" applyAlignment="1">
      <alignment horizontal="center"/>
    </xf>
    <xf numFmtId="10" fontId="1" fillId="8" borderId="33" xfId="0" applyNumberFormat="1" applyFont="1" applyFill="1" applyBorder="1" applyAlignment="1">
      <alignment horizontal="center"/>
    </xf>
    <xf numFmtId="10" fontId="0" fillId="19" borderId="25" xfId="0" applyNumberFormat="1" applyFill="1" applyBorder="1"/>
    <xf numFmtId="2" fontId="0" fillId="19" borderId="25" xfId="0" applyNumberFormat="1" applyFill="1" applyBorder="1"/>
    <xf numFmtId="44" fontId="1" fillId="7" borderId="36" xfId="0" applyNumberFormat="1" applyFont="1" applyFill="1" applyBorder="1" applyAlignment="1">
      <alignment horizontal="center"/>
    </xf>
    <xf numFmtId="0" fontId="3" fillId="11" borderId="26" xfId="0" applyFont="1" applyFill="1" applyBorder="1" applyAlignment="1">
      <alignment horizontal="center" vertical="center" wrapText="1"/>
    </xf>
    <xf numFmtId="0" fontId="26" fillId="0" borderId="0" xfId="0" applyFont="1"/>
    <xf numFmtId="0" fontId="25" fillId="2" borderId="0" xfId="0" applyFont="1" applyFill="1"/>
    <xf numFmtId="0" fontId="23" fillId="2" borderId="0" xfId="0" applyFont="1" applyFill="1"/>
    <xf numFmtId="0" fontId="29" fillId="0" borderId="0" xfId="0" applyFont="1"/>
    <xf numFmtId="0" fontId="29" fillId="0" borderId="0" xfId="0" applyFont="1" applyAlignment="1">
      <alignment horizontal="left" vertical="top" wrapText="1"/>
    </xf>
    <xf numFmtId="170" fontId="0" fillId="0" borderId="22" xfId="0" applyNumberFormat="1" applyBorder="1"/>
    <xf numFmtId="0" fontId="0" fillId="0" borderId="32" xfId="0" applyBorder="1"/>
    <xf numFmtId="10" fontId="1" fillId="9" borderId="5" xfId="0" applyNumberFormat="1" applyFont="1" applyFill="1" applyBorder="1" applyAlignment="1">
      <alignment horizontal="center"/>
    </xf>
    <xf numFmtId="9" fontId="1" fillId="19" borderId="26" xfId="0" applyNumberFormat="1" applyFont="1" applyFill="1" applyBorder="1" applyAlignment="1">
      <alignment horizontal="center"/>
    </xf>
    <xf numFmtId="0" fontId="31" fillId="0" borderId="6" xfId="0" applyFont="1" applyBorder="1" applyAlignment="1">
      <alignment horizontal="center" vertical="center"/>
    </xf>
    <xf numFmtId="0" fontId="3" fillId="0" borderId="6" xfId="0" applyFont="1" applyBorder="1" applyAlignment="1">
      <alignment horizontal="center" vertical="center"/>
    </xf>
    <xf numFmtId="0" fontId="1" fillId="0" borderId="1" xfId="0" applyFont="1" applyBorder="1"/>
    <xf numFmtId="0" fontId="1" fillId="0" borderId="10" xfId="0" applyFont="1" applyBorder="1"/>
    <xf numFmtId="0" fontId="1" fillId="0" borderId="23" xfId="0" applyFont="1" applyBorder="1"/>
    <xf numFmtId="0" fontId="1" fillId="0" borderId="3" xfId="0" applyFont="1" applyBorder="1"/>
    <xf numFmtId="0" fontId="1" fillId="2" borderId="3" xfId="0" applyFont="1" applyFill="1" applyBorder="1"/>
    <xf numFmtId="0" fontId="1" fillId="2" borderId="14" xfId="0" applyFont="1" applyFill="1" applyBorder="1"/>
    <xf numFmtId="0" fontId="1" fillId="0" borderId="14" xfId="0" applyFont="1" applyBorder="1"/>
    <xf numFmtId="0" fontId="30" fillId="0" borderId="0" xfId="0" applyFont="1"/>
    <xf numFmtId="168" fontId="1" fillId="14" borderId="27" xfId="0" applyNumberFormat="1" applyFont="1" applyFill="1" applyBorder="1" applyAlignment="1">
      <alignment horizontal="center"/>
    </xf>
    <xf numFmtId="165" fontId="0" fillId="0" borderId="1" xfId="0" applyNumberFormat="1" applyBorder="1"/>
    <xf numFmtId="167" fontId="1" fillId="4" borderId="43" xfId="0" applyNumberFormat="1" applyFont="1" applyFill="1" applyBorder="1" applyAlignment="1">
      <alignment horizontal="center"/>
    </xf>
    <xf numFmtId="167" fontId="1" fillId="4" borderId="44" xfId="0" applyNumberFormat="1" applyFont="1" applyFill="1" applyBorder="1" applyAlignment="1">
      <alignment horizontal="center"/>
    </xf>
    <xf numFmtId="167" fontId="1" fillId="5" borderId="45" xfId="0" applyNumberFormat="1" applyFont="1" applyFill="1" applyBorder="1" applyAlignment="1">
      <alignment horizontal="center"/>
    </xf>
    <xf numFmtId="167" fontId="1" fillId="4" borderId="27" xfId="0" applyNumberFormat="1" applyFont="1" applyFill="1" applyBorder="1" applyAlignment="1">
      <alignment horizontal="center"/>
    </xf>
    <xf numFmtId="167" fontId="1" fillId="5" borderId="44" xfId="0" applyNumberFormat="1" applyFont="1" applyFill="1" applyBorder="1" applyAlignment="1">
      <alignment horizontal="center"/>
    </xf>
    <xf numFmtId="168" fontId="1" fillId="13" borderId="44" xfId="0" applyNumberFormat="1" applyFont="1" applyFill="1" applyBorder="1" applyAlignment="1">
      <alignment horizontal="center"/>
    </xf>
    <xf numFmtId="10" fontId="1" fillId="8" borderId="45" xfId="0" applyNumberFormat="1" applyFont="1" applyFill="1" applyBorder="1" applyAlignment="1">
      <alignment horizontal="center"/>
    </xf>
    <xf numFmtId="10" fontId="1" fillId="8" borderId="44" xfId="0" applyNumberFormat="1" applyFont="1" applyFill="1" applyBorder="1" applyAlignment="1">
      <alignment horizontal="center"/>
    </xf>
    <xf numFmtId="10" fontId="1" fillId="2" borderId="46" xfId="0" applyNumberFormat="1" applyFont="1" applyFill="1" applyBorder="1" applyAlignment="1">
      <alignment horizontal="center"/>
    </xf>
    <xf numFmtId="167" fontId="1" fillId="16" borderId="44" xfId="0" applyNumberFormat="1" applyFont="1" applyFill="1" applyBorder="1" applyAlignment="1">
      <alignment horizontal="center"/>
    </xf>
    <xf numFmtId="167" fontId="1" fillId="18" borderId="44" xfId="0" applyNumberFormat="1" applyFont="1" applyFill="1" applyBorder="1" applyAlignment="1">
      <alignment horizontal="center"/>
    </xf>
    <xf numFmtId="167" fontId="1" fillId="5" borderId="44" xfId="0" applyNumberFormat="1" applyFont="1" applyFill="1" applyBorder="1"/>
    <xf numFmtId="167" fontId="1" fillId="5" borderId="47" xfId="0" applyNumberFormat="1" applyFont="1" applyFill="1" applyBorder="1"/>
    <xf numFmtId="44" fontId="1" fillId="7" borderId="44" xfId="0" applyNumberFormat="1" applyFont="1" applyFill="1" applyBorder="1" applyAlignment="1">
      <alignment horizontal="center"/>
    </xf>
    <xf numFmtId="168" fontId="1" fillId="14" borderId="45" xfId="0" applyNumberFormat="1" applyFont="1" applyFill="1" applyBorder="1" applyAlignment="1">
      <alignment horizontal="center"/>
    </xf>
    <xf numFmtId="10" fontId="1" fillId="8" borderId="27" xfId="0" applyNumberFormat="1" applyFont="1" applyFill="1" applyBorder="1" applyAlignment="1">
      <alignment horizontal="center"/>
    </xf>
    <xf numFmtId="167" fontId="1" fillId="16" borderId="27" xfId="0" applyNumberFormat="1" applyFont="1" applyFill="1" applyBorder="1" applyAlignment="1">
      <alignment horizontal="center"/>
    </xf>
    <xf numFmtId="167" fontId="1" fillId="18" borderId="27" xfId="0" applyNumberFormat="1" applyFont="1" applyFill="1" applyBorder="1" applyAlignment="1">
      <alignment horizontal="center"/>
    </xf>
    <xf numFmtId="167" fontId="1" fillId="5" borderId="27" xfId="0" applyNumberFormat="1" applyFont="1" applyFill="1" applyBorder="1"/>
    <xf numFmtId="9" fontId="1" fillId="8" borderId="11" xfId="0" applyNumberFormat="1" applyFont="1" applyFill="1" applyBorder="1" applyAlignment="1">
      <alignment horizontal="center"/>
    </xf>
    <xf numFmtId="168" fontId="1" fillId="14" borderId="34" xfId="0" applyNumberFormat="1" applyFont="1" applyFill="1" applyBorder="1" applyAlignment="1">
      <alignment horizontal="center"/>
    </xf>
    <xf numFmtId="44" fontId="1" fillId="7" borderId="20" xfId="0" applyNumberFormat="1" applyFont="1" applyFill="1" applyBorder="1" applyAlignment="1">
      <alignment horizontal="center"/>
    </xf>
    <xf numFmtId="10" fontId="1" fillId="8" borderId="48" xfId="0" applyNumberFormat="1" applyFont="1" applyFill="1" applyBorder="1" applyAlignment="1">
      <alignment horizontal="center"/>
    </xf>
    <xf numFmtId="168" fontId="1" fillId="13" borderId="34" xfId="0" applyNumberFormat="1" applyFont="1" applyFill="1" applyBorder="1" applyAlignment="1">
      <alignment horizontal="center"/>
    </xf>
    <xf numFmtId="167" fontId="1" fillId="5" borderId="34" xfId="0" applyNumberFormat="1" applyFont="1" applyFill="1" applyBorder="1"/>
    <xf numFmtId="167" fontId="0" fillId="5" borderId="27" xfId="0" applyNumberFormat="1" applyFill="1" applyBorder="1"/>
    <xf numFmtId="9" fontId="1" fillId="19" borderId="25" xfId="0" applyNumberFormat="1" applyFont="1" applyFill="1" applyBorder="1" applyAlignment="1">
      <alignment horizontal="center"/>
    </xf>
    <xf numFmtId="165" fontId="1" fillId="4" borderId="26" xfId="0" applyNumberFormat="1" applyFont="1" applyFill="1" applyBorder="1"/>
    <xf numFmtId="167" fontId="1" fillId="4" borderId="34" xfId="0" applyNumberFormat="1" applyFont="1" applyFill="1" applyBorder="1" applyAlignment="1">
      <alignment horizontal="center"/>
    </xf>
    <xf numFmtId="167" fontId="0" fillId="3" borderId="27" xfId="0" applyNumberFormat="1" applyFill="1" applyBorder="1" applyAlignment="1">
      <alignment horizontal="center"/>
    </xf>
    <xf numFmtId="167" fontId="1" fillId="5" borderId="34" xfId="0" applyNumberFormat="1" applyFont="1" applyFill="1" applyBorder="1" applyAlignment="1">
      <alignment horizontal="center"/>
    </xf>
    <xf numFmtId="167" fontId="0" fillId="2" borderId="15" xfId="0" applyNumberFormat="1" applyFill="1" applyBorder="1" applyAlignment="1">
      <alignment horizontal="center"/>
    </xf>
    <xf numFmtId="10" fontId="1" fillId="8" borderId="34" xfId="0" applyNumberFormat="1" applyFont="1" applyFill="1" applyBorder="1" applyAlignment="1">
      <alignment horizontal="center"/>
    </xf>
    <xf numFmtId="167" fontId="1" fillId="18" borderId="34" xfId="0" applyNumberFormat="1" applyFont="1" applyFill="1" applyBorder="1" applyAlignment="1">
      <alignment horizontal="center"/>
    </xf>
    <xf numFmtId="167" fontId="1" fillId="16" borderId="34" xfId="0" applyNumberFormat="1" applyFont="1" applyFill="1" applyBorder="1" applyAlignment="1">
      <alignment horizontal="center"/>
    </xf>
    <xf numFmtId="167" fontId="1" fillId="16" borderId="43" xfId="0" applyNumberFormat="1" applyFont="1" applyFill="1" applyBorder="1" applyAlignment="1">
      <alignment horizontal="center"/>
    </xf>
    <xf numFmtId="1" fontId="1" fillId="14" borderId="26" xfId="0" applyNumberFormat="1" applyFont="1" applyFill="1" applyBorder="1" applyAlignment="1">
      <alignment horizontal="center"/>
    </xf>
    <xf numFmtId="1" fontId="1" fillId="14" borderId="25" xfId="0" applyNumberFormat="1" applyFont="1" applyFill="1" applyBorder="1" applyAlignment="1">
      <alignment horizontal="center"/>
    </xf>
    <xf numFmtId="1" fontId="1" fillId="14" borderId="45" xfId="0" applyNumberFormat="1" applyFont="1" applyFill="1" applyBorder="1" applyAlignment="1">
      <alignment horizontal="center"/>
    </xf>
    <xf numFmtId="1" fontId="1" fillId="14" borderId="27" xfId="0" applyNumberFormat="1" applyFont="1" applyFill="1" applyBorder="1" applyAlignment="1">
      <alignment horizontal="center"/>
    </xf>
    <xf numFmtId="0" fontId="1" fillId="14" borderId="26" xfId="0" applyFont="1" applyFill="1" applyBorder="1"/>
    <xf numFmtId="168" fontId="1" fillId="13" borderId="49" xfId="0" applyNumberFormat="1" applyFont="1" applyFill="1" applyBorder="1" applyAlignment="1">
      <alignment horizontal="center"/>
    </xf>
    <xf numFmtId="168" fontId="1" fillId="13" borderId="50" xfId="0" applyNumberFormat="1" applyFont="1" applyFill="1" applyBorder="1" applyAlignment="1">
      <alignment horizontal="center"/>
    </xf>
    <xf numFmtId="168" fontId="1" fillId="13" borderId="36" xfId="0" applyNumberFormat="1" applyFont="1" applyFill="1" applyBorder="1" applyAlignment="1">
      <alignment horizontal="center"/>
    </xf>
    <xf numFmtId="0" fontId="1" fillId="13" borderId="36" xfId="0" applyFont="1" applyFill="1" applyBorder="1"/>
    <xf numFmtId="167" fontId="1" fillId="5" borderId="51" xfId="0" applyNumberFormat="1" applyFont="1" applyFill="1" applyBorder="1" applyAlignment="1">
      <alignment horizontal="center"/>
    </xf>
    <xf numFmtId="167" fontId="1" fillId="5" borderId="52" xfId="0" applyNumberFormat="1" applyFont="1" applyFill="1" applyBorder="1" applyAlignment="1">
      <alignment horizontal="center"/>
    </xf>
    <xf numFmtId="167" fontId="1" fillId="5" borderId="31" xfId="0" applyNumberFormat="1" applyFont="1" applyFill="1" applyBorder="1" applyAlignment="1">
      <alignment horizontal="center"/>
    </xf>
    <xf numFmtId="0" fontId="1" fillId="5" borderId="53" xfId="0" applyFont="1" applyFill="1" applyBorder="1"/>
    <xf numFmtId="167" fontId="1" fillId="4" borderId="49" xfId="0" applyNumberFormat="1" applyFont="1" applyFill="1" applyBorder="1" applyAlignment="1">
      <alignment horizontal="center"/>
    </xf>
    <xf numFmtId="167" fontId="0" fillId="3" borderId="13" xfId="0" applyNumberFormat="1" applyFill="1" applyBorder="1" applyAlignment="1">
      <alignment horizontal="center"/>
    </xf>
    <xf numFmtId="42" fontId="16" fillId="2" borderId="36" xfId="0" applyNumberFormat="1" applyFont="1" applyFill="1" applyBorder="1" applyAlignment="1">
      <alignment horizontal="center"/>
    </xf>
    <xf numFmtId="9" fontId="0" fillId="20" borderId="38" xfId="0" applyNumberFormat="1" applyFill="1" applyBorder="1" applyAlignment="1">
      <alignment horizontal="center"/>
    </xf>
    <xf numFmtId="167" fontId="0" fillId="2" borderId="38" xfId="0" applyNumberFormat="1" applyFill="1" applyBorder="1" applyAlignment="1">
      <alignment horizontal="center"/>
    </xf>
    <xf numFmtId="9" fontId="16" fillId="19" borderId="36" xfId="0" applyNumberFormat="1" applyFont="1" applyFill="1" applyBorder="1" applyAlignment="1">
      <alignment horizontal="center"/>
    </xf>
    <xf numFmtId="165" fontId="0" fillId="2" borderId="38" xfId="0" applyNumberFormat="1" applyFill="1" applyBorder="1" applyAlignment="1">
      <alignment horizontal="center"/>
    </xf>
    <xf numFmtId="0" fontId="0" fillId="0" borderId="38" xfId="0" applyBorder="1"/>
    <xf numFmtId="168" fontId="1" fillId="21" borderId="25" xfId="0" applyNumberFormat="1" applyFont="1" applyFill="1" applyBorder="1" applyAlignment="1">
      <alignment horizontal="center"/>
    </xf>
    <xf numFmtId="168" fontId="1" fillId="21" borderId="44" xfId="0" applyNumberFormat="1" applyFont="1" applyFill="1" applyBorder="1" applyAlignment="1">
      <alignment horizontal="center"/>
    </xf>
    <xf numFmtId="168" fontId="1" fillId="21" borderId="27" xfId="0" applyNumberFormat="1" applyFont="1" applyFill="1" applyBorder="1" applyAlignment="1">
      <alignment horizontal="center"/>
    </xf>
    <xf numFmtId="168" fontId="1" fillId="21" borderId="26" xfId="0" applyNumberFormat="1" applyFont="1" applyFill="1" applyBorder="1" applyAlignment="1">
      <alignment horizontal="center"/>
    </xf>
    <xf numFmtId="0" fontId="1" fillId="21" borderId="26" xfId="0" applyFont="1" applyFill="1" applyBorder="1"/>
    <xf numFmtId="1" fontId="1" fillId="21" borderId="26" xfId="0" applyNumberFormat="1" applyFont="1" applyFill="1" applyBorder="1" applyAlignment="1">
      <alignment horizontal="center"/>
    </xf>
    <xf numFmtId="0" fontId="1" fillId="21" borderId="0" xfId="0" applyFont="1" applyFill="1"/>
    <xf numFmtId="1" fontId="1" fillId="21" borderId="25" xfId="0" applyNumberFormat="1" applyFont="1" applyFill="1" applyBorder="1" applyAlignment="1">
      <alignment horizontal="center"/>
    </xf>
    <xf numFmtId="1" fontId="1" fillId="21" borderId="43" xfId="0" applyNumberFormat="1" applyFont="1" applyFill="1" applyBorder="1" applyAlignment="1">
      <alignment horizontal="center"/>
    </xf>
    <xf numFmtId="1" fontId="1" fillId="21" borderId="27" xfId="0" applyNumberFormat="1" applyFont="1" applyFill="1" applyBorder="1" applyAlignment="1">
      <alignment horizontal="center"/>
    </xf>
    <xf numFmtId="0" fontId="1" fillId="13" borderId="38" xfId="0" applyFont="1" applyFill="1" applyBorder="1"/>
    <xf numFmtId="167" fontId="1" fillId="5" borderId="42" xfId="0" applyNumberFormat="1" applyFont="1" applyFill="1" applyBorder="1" applyAlignment="1">
      <alignment horizontal="center"/>
    </xf>
    <xf numFmtId="167" fontId="1" fillId="5" borderId="21" xfId="0" applyNumberFormat="1" applyFont="1" applyFill="1" applyBorder="1" applyAlignment="1">
      <alignment horizontal="center"/>
    </xf>
    <xf numFmtId="167" fontId="1" fillId="5" borderId="28" xfId="0" applyNumberFormat="1" applyFont="1" applyFill="1" applyBorder="1" applyAlignment="1">
      <alignment horizontal="center"/>
    </xf>
    <xf numFmtId="42" fontId="16" fillId="2" borderId="54" xfId="0" applyNumberFormat="1" applyFont="1" applyFill="1" applyBorder="1" applyAlignment="1">
      <alignment horizontal="center"/>
    </xf>
    <xf numFmtId="9" fontId="16" fillId="19" borderId="54" xfId="0" applyNumberFormat="1" applyFont="1" applyFill="1" applyBorder="1" applyAlignment="1">
      <alignment horizontal="center"/>
    </xf>
    <xf numFmtId="42" fontId="16" fillId="15" borderId="36" xfId="0" applyNumberFormat="1" applyFont="1" applyFill="1" applyBorder="1" applyAlignment="1">
      <alignment horizontal="center"/>
    </xf>
    <xf numFmtId="1" fontId="1" fillId="14" borderId="55" xfId="0" applyNumberFormat="1" applyFont="1" applyFill="1" applyBorder="1" applyAlignment="1">
      <alignment horizontal="center"/>
    </xf>
    <xf numFmtId="10" fontId="1" fillId="8" borderId="56" xfId="0" applyNumberFormat="1" applyFont="1" applyFill="1" applyBorder="1" applyAlignment="1">
      <alignment horizontal="center"/>
    </xf>
    <xf numFmtId="168" fontId="1" fillId="13" borderId="46" xfId="0" applyNumberFormat="1" applyFont="1" applyFill="1" applyBorder="1" applyAlignment="1">
      <alignment horizontal="center"/>
    </xf>
    <xf numFmtId="168" fontId="1" fillId="13" borderId="54" xfId="0" applyNumberFormat="1" applyFont="1" applyFill="1" applyBorder="1" applyAlignment="1">
      <alignment horizontal="center"/>
    </xf>
    <xf numFmtId="167" fontId="1" fillId="5" borderId="47" xfId="0" applyNumberFormat="1" applyFont="1" applyFill="1" applyBorder="1" applyAlignment="1">
      <alignment horizontal="center"/>
    </xf>
    <xf numFmtId="167" fontId="0" fillId="0" borderId="36" xfId="0" applyNumberFormat="1" applyBorder="1"/>
    <xf numFmtId="165" fontId="0" fillId="0" borderId="36" xfId="0" applyNumberFormat="1" applyBorder="1"/>
    <xf numFmtId="165" fontId="1" fillId="4" borderId="36" xfId="0" applyNumberFormat="1" applyFont="1" applyFill="1" applyBorder="1"/>
    <xf numFmtId="167" fontId="1" fillId="4" borderId="57" xfId="0" applyNumberFormat="1" applyFont="1" applyFill="1" applyBorder="1" applyAlignment="1">
      <alignment horizontal="center"/>
    </xf>
    <xf numFmtId="167" fontId="0" fillId="3" borderId="48" xfId="0" applyNumberFormat="1" applyFill="1" applyBorder="1" applyAlignment="1">
      <alignment horizontal="center"/>
    </xf>
    <xf numFmtId="42" fontId="16" fillId="2" borderId="38" xfId="0" applyNumberFormat="1" applyFont="1" applyFill="1" applyBorder="1" applyAlignment="1">
      <alignment horizontal="center"/>
    </xf>
    <xf numFmtId="9" fontId="16" fillId="20" borderId="38" xfId="0" applyNumberFormat="1" applyFont="1" applyFill="1" applyBorder="1" applyAlignment="1">
      <alignment horizontal="center"/>
    </xf>
    <xf numFmtId="9" fontId="0" fillId="19" borderId="38" xfId="0" applyNumberFormat="1" applyFill="1" applyBorder="1" applyAlignment="1">
      <alignment horizontal="center"/>
    </xf>
    <xf numFmtId="9" fontId="16" fillId="19" borderId="38" xfId="0" applyNumberFormat="1" applyFont="1" applyFill="1" applyBorder="1" applyAlignment="1">
      <alignment horizontal="center"/>
    </xf>
    <xf numFmtId="42" fontId="16" fillId="15" borderId="38" xfId="0" applyNumberFormat="1" applyFont="1" applyFill="1" applyBorder="1" applyAlignment="1">
      <alignment horizontal="center"/>
    </xf>
    <xf numFmtId="1" fontId="1" fillId="21" borderId="0" xfId="0" applyNumberFormat="1" applyFont="1" applyFill="1" applyAlignment="1">
      <alignment horizontal="center"/>
    </xf>
    <xf numFmtId="1" fontId="1" fillId="21" borderId="27" xfId="0" applyNumberFormat="1" applyFont="1" applyFill="1" applyBorder="1"/>
    <xf numFmtId="1" fontId="1" fillId="21" borderId="26" xfId="0" applyNumberFormat="1" applyFont="1" applyFill="1" applyBorder="1"/>
    <xf numFmtId="2" fontId="1" fillId="14" borderId="26" xfId="0" applyNumberFormat="1" applyFont="1" applyFill="1" applyBorder="1" applyAlignment="1">
      <alignment horizontal="center"/>
    </xf>
    <xf numFmtId="2" fontId="1" fillId="14" borderId="25" xfId="0" applyNumberFormat="1" applyFont="1" applyFill="1" applyBorder="1" applyAlignment="1">
      <alignment horizontal="center"/>
    </xf>
    <xf numFmtId="2" fontId="1" fillId="14" borderId="45" xfId="0" applyNumberFormat="1" applyFont="1" applyFill="1" applyBorder="1" applyAlignment="1">
      <alignment horizontal="center"/>
    </xf>
    <xf numFmtId="2" fontId="1" fillId="14" borderId="27" xfId="0" applyNumberFormat="1" applyFont="1" applyFill="1" applyBorder="1" applyAlignment="1">
      <alignment horizontal="center"/>
    </xf>
    <xf numFmtId="10" fontId="1" fillId="8" borderId="51" xfId="0" applyNumberFormat="1" applyFont="1" applyFill="1" applyBorder="1" applyAlignment="1">
      <alignment horizontal="center"/>
    </xf>
    <xf numFmtId="10" fontId="1" fillId="8" borderId="47" xfId="0" applyNumberFormat="1" applyFont="1" applyFill="1" applyBorder="1" applyAlignment="1">
      <alignment horizontal="center"/>
    </xf>
    <xf numFmtId="10" fontId="1" fillId="8" borderId="42" xfId="0" applyNumberFormat="1" applyFont="1" applyFill="1" applyBorder="1" applyAlignment="1">
      <alignment horizontal="center"/>
    </xf>
    <xf numFmtId="10" fontId="1" fillId="8" borderId="28" xfId="0" applyNumberFormat="1" applyFont="1" applyFill="1" applyBorder="1" applyAlignment="1">
      <alignment horizontal="center"/>
    </xf>
    <xf numFmtId="0" fontId="1" fillId="8" borderId="58" xfId="0" applyFont="1" applyFill="1" applyBorder="1"/>
    <xf numFmtId="165" fontId="0" fillId="4" borderId="36" xfId="0" applyNumberFormat="1" applyFill="1" applyBorder="1"/>
    <xf numFmtId="42" fontId="16" fillId="2" borderId="36" xfId="0" applyNumberFormat="1" applyFont="1" applyFill="1" applyBorder="1"/>
    <xf numFmtId="1" fontId="1" fillId="21" borderId="59" xfId="0" applyNumberFormat="1" applyFont="1" applyFill="1" applyBorder="1" applyAlignment="1">
      <alignment horizontal="center"/>
    </xf>
    <xf numFmtId="3" fontId="1" fillId="21" borderId="26" xfId="0" applyNumberFormat="1" applyFont="1" applyFill="1" applyBorder="1" applyAlignment="1">
      <alignment horizontal="center"/>
    </xf>
    <xf numFmtId="3" fontId="1" fillId="21" borderId="25" xfId="0" applyNumberFormat="1" applyFont="1" applyFill="1" applyBorder="1" applyAlignment="1">
      <alignment horizontal="center"/>
    </xf>
    <xf numFmtId="0" fontId="1" fillId="9" borderId="0" xfId="0" applyFont="1" applyFill="1" applyAlignment="1">
      <alignment horizontal="center" vertical="center"/>
    </xf>
    <xf numFmtId="0" fontId="3" fillId="22" borderId="26" xfId="0" applyFont="1" applyFill="1" applyBorder="1" applyAlignment="1">
      <alignment horizontal="center" vertical="center" wrapText="1"/>
    </xf>
    <xf numFmtId="171" fontId="0" fillId="0" borderId="26" xfId="0" applyNumberFormat="1" applyBorder="1"/>
    <xf numFmtId="0" fontId="0" fillId="0" borderId="27" xfId="0" applyBorder="1"/>
    <xf numFmtId="171" fontId="0" fillId="0" borderId="31" xfId="0" applyNumberFormat="1" applyBorder="1"/>
    <xf numFmtId="0" fontId="0" fillId="0" borderId="52" xfId="0" applyBorder="1"/>
    <xf numFmtId="0" fontId="0" fillId="0" borderId="31" xfId="0" applyBorder="1"/>
    <xf numFmtId="172" fontId="0" fillId="0" borderId="26" xfId="0" applyNumberFormat="1" applyBorder="1"/>
    <xf numFmtId="10" fontId="0" fillId="0" borderId="26" xfId="0" applyNumberFormat="1" applyBorder="1"/>
    <xf numFmtId="0" fontId="0" fillId="8" borderId="26" xfId="0" applyFill="1" applyBorder="1"/>
    <xf numFmtId="171" fontId="32" fillId="0" borderId="26" xfId="0" applyNumberFormat="1" applyFont="1" applyBorder="1"/>
    <xf numFmtId="0" fontId="33" fillId="0" borderId="26" xfId="0" applyFont="1" applyBorder="1"/>
    <xf numFmtId="10" fontId="32" fillId="0" borderId="26" xfId="0" applyNumberFormat="1" applyFont="1" applyBorder="1"/>
    <xf numFmtId="0" fontId="33" fillId="6" borderId="26" xfId="0" applyFont="1" applyFill="1" applyBorder="1"/>
    <xf numFmtId="0" fontId="34" fillId="0" borderId="0" xfId="0" applyFont="1"/>
    <xf numFmtId="171" fontId="1" fillId="0" borderId="26" xfId="0" applyNumberFormat="1" applyFont="1" applyBorder="1"/>
    <xf numFmtId="10" fontId="1" fillId="0" borderId="26" xfId="0" applyNumberFormat="1" applyFont="1" applyBorder="1"/>
    <xf numFmtId="0" fontId="32" fillId="0" borderId="26" xfId="0" applyFont="1" applyBorder="1"/>
    <xf numFmtId="0" fontId="35" fillId="0" borderId="0" xfId="0" applyFont="1"/>
    <xf numFmtId="0" fontId="39" fillId="0" borderId="0" xfId="0" applyFont="1" applyAlignment="1">
      <alignment horizontal="center"/>
    </xf>
    <xf numFmtId="0" fontId="37" fillId="0" borderId="0" xfId="0" applyFont="1"/>
    <xf numFmtId="0" fontId="32" fillId="0" borderId="27" xfId="0" applyFont="1" applyBorder="1"/>
    <xf numFmtId="0" fontId="34" fillId="0" borderId="25" xfId="0" applyFont="1" applyBorder="1"/>
    <xf numFmtId="0" fontId="34" fillId="0" borderId="50" xfId="0" applyFont="1" applyBorder="1"/>
    <xf numFmtId="0" fontId="34" fillId="0" borderId="54" xfId="0" applyFont="1" applyBorder="1"/>
    <xf numFmtId="0" fontId="34" fillId="24" borderId="50" xfId="0" applyFont="1" applyFill="1" applyBorder="1"/>
    <xf numFmtId="0" fontId="34" fillId="24" borderId="36" xfId="0" applyFont="1" applyFill="1" applyBorder="1"/>
    <xf numFmtId="0" fontId="34" fillId="24" borderId="54" xfId="0" applyFont="1" applyFill="1" applyBorder="1"/>
    <xf numFmtId="0" fontId="32" fillId="0" borderId="36" xfId="0" applyFont="1" applyBorder="1"/>
    <xf numFmtId="0" fontId="34" fillId="0" borderId="36" xfId="0" applyFont="1" applyBorder="1"/>
    <xf numFmtId="9" fontId="34" fillId="0" borderId="54" xfId="0" applyNumberFormat="1" applyFont="1" applyBorder="1"/>
    <xf numFmtId="10" fontId="32" fillId="25" borderId="54" xfId="0" applyNumberFormat="1" applyFont="1" applyFill="1" applyBorder="1"/>
    <xf numFmtId="0" fontId="34" fillId="15" borderId="0" xfId="0" applyFont="1" applyFill="1"/>
    <xf numFmtId="171" fontId="32" fillId="25" borderId="54" xfId="0" applyNumberFormat="1" applyFont="1" applyFill="1" applyBorder="1"/>
    <xf numFmtId="171" fontId="34" fillId="0" borderId="54" xfId="0" applyNumberFormat="1" applyFont="1" applyBorder="1"/>
    <xf numFmtId="171" fontId="34" fillId="0" borderId="36" xfId="0" applyNumberFormat="1" applyFont="1" applyBorder="1"/>
    <xf numFmtId="0" fontId="32" fillId="25" borderId="36" xfId="0" applyFont="1" applyFill="1" applyBorder="1"/>
    <xf numFmtId="9" fontId="32" fillId="23" borderId="36" xfId="0" applyNumberFormat="1" applyFont="1" applyFill="1" applyBorder="1"/>
    <xf numFmtId="171" fontId="32" fillId="23" borderId="36" xfId="0" applyNumberFormat="1" applyFont="1" applyFill="1" applyBorder="1"/>
    <xf numFmtId="0" fontId="34" fillId="0" borderId="60" xfId="0" applyFont="1" applyBorder="1"/>
    <xf numFmtId="0" fontId="33" fillId="0" borderId="0" xfId="0" applyFont="1"/>
    <xf numFmtId="0" fontId="32" fillId="0" borderId="26" xfId="0" applyFont="1" applyBorder="1" applyAlignment="1">
      <alignment horizontal="center"/>
    </xf>
    <xf numFmtId="0" fontId="32" fillId="0" borderId="54" xfId="0" applyFont="1" applyBorder="1" applyAlignment="1">
      <alignment horizontal="center" wrapText="1"/>
    </xf>
    <xf numFmtId="0" fontId="32" fillId="0" borderId="54" xfId="0" applyFont="1" applyBorder="1" applyAlignment="1">
      <alignment horizontal="center"/>
    </xf>
    <xf numFmtId="0" fontId="32" fillId="23" borderId="36" xfId="0" applyFont="1" applyFill="1" applyBorder="1" applyAlignment="1">
      <alignment horizontal="center"/>
    </xf>
    <xf numFmtId="0" fontId="32" fillId="0" borderId="0" xfId="0" applyFont="1" applyAlignment="1">
      <alignment horizontal="center"/>
    </xf>
    <xf numFmtId="167" fontId="0" fillId="0" borderId="22" xfId="0" applyNumberFormat="1" applyBorder="1" applyAlignment="1">
      <alignment horizontal="center"/>
    </xf>
    <xf numFmtId="9" fontId="0" fillId="0" borderId="22" xfId="0" applyNumberFormat="1" applyBorder="1" applyAlignment="1">
      <alignment horizontal="center"/>
    </xf>
    <xf numFmtId="9" fontId="16" fillId="0" borderId="26" xfId="0" applyNumberFormat="1" applyFont="1" applyBorder="1" applyAlignment="1">
      <alignment horizontal="center"/>
    </xf>
    <xf numFmtId="165" fontId="0" fillId="0" borderId="38" xfId="0" applyNumberFormat="1" applyBorder="1" applyAlignment="1">
      <alignment horizontal="center"/>
    </xf>
    <xf numFmtId="167" fontId="0" fillId="0" borderId="38" xfId="0" applyNumberFormat="1" applyBorder="1" applyAlignment="1">
      <alignment horizontal="center"/>
    </xf>
    <xf numFmtId="9" fontId="0" fillId="0" borderId="38" xfId="0" applyNumberFormat="1" applyBorder="1" applyAlignment="1">
      <alignment horizontal="center"/>
    </xf>
    <xf numFmtId="42" fontId="16" fillId="0" borderId="36" xfId="0" applyNumberFormat="1" applyFont="1" applyBorder="1"/>
    <xf numFmtId="165" fontId="0" fillId="0" borderId="22" xfId="0" applyNumberFormat="1" applyBorder="1" applyAlignment="1">
      <alignment horizontal="center"/>
    </xf>
    <xf numFmtId="42" fontId="16" fillId="0" borderId="26" xfId="0" applyNumberFormat="1" applyFont="1" applyBorder="1"/>
    <xf numFmtId="42" fontId="16" fillId="0" borderId="36" xfId="0" applyNumberFormat="1" applyFont="1" applyBorder="1" applyAlignment="1">
      <alignment horizontal="center"/>
    </xf>
    <xf numFmtId="42" fontId="16" fillId="0" borderId="26" xfId="0" applyNumberFormat="1" applyFont="1" applyBorder="1" applyAlignment="1">
      <alignment horizontal="center"/>
    </xf>
    <xf numFmtId="9" fontId="0" fillId="0" borderId="18" xfId="0" applyNumberFormat="1" applyBorder="1" applyAlignment="1">
      <alignment horizontal="center"/>
    </xf>
    <xf numFmtId="167" fontId="0" fillId="0" borderId="11" xfId="0" applyNumberFormat="1" applyBorder="1" applyAlignment="1">
      <alignment horizontal="center"/>
    </xf>
    <xf numFmtId="0" fontId="0" fillId="26" borderId="0" xfId="0" applyFill="1"/>
    <xf numFmtId="0" fontId="34" fillId="26" borderId="0" xfId="0" applyFont="1" applyFill="1"/>
    <xf numFmtId="42" fontId="0" fillId="0" borderId="0" xfId="0" applyNumberFormat="1"/>
    <xf numFmtId="164" fontId="34" fillId="0" borderId="0" xfId="0" applyNumberFormat="1" applyFont="1" applyAlignment="1">
      <alignment wrapText="1"/>
    </xf>
    <xf numFmtId="164" fontId="0" fillId="0" borderId="0" xfId="0" applyNumberFormat="1"/>
    <xf numFmtId="171" fontId="1" fillId="0" borderId="0" xfId="0" applyNumberFormat="1" applyFont="1"/>
    <xf numFmtId="165" fontId="1" fillId="0" borderId="0" xfId="0" applyNumberFormat="1" applyFont="1" applyAlignment="1">
      <alignment horizontal="center"/>
    </xf>
    <xf numFmtId="168" fontId="1" fillId="14" borderId="0" xfId="0" applyNumberFormat="1" applyFont="1" applyFill="1" applyAlignment="1">
      <alignment horizontal="center"/>
    </xf>
    <xf numFmtId="168" fontId="1" fillId="27" borderId="0" xfId="0" applyNumberFormat="1" applyFont="1" applyFill="1" applyAlignment="1">
      <alignment horizontal="center"/>
    </xf>
    <xf numFmtId="168" fontId="1" fillId="0" borderId="0" xfId="0" applyNumberFormat="1" applyFont="1" applyAlignment="1">
      <alignment horizontal="center"/>
    </xf>
    <xf numFmtId="164" fontId="32" fillId="0" borderId="0" xfId="0" applyNumberFormat="1" applyFont="1" applyAlignment="1">
      <alignment horizontal="center" wrapText="1"/>
    </xf>
    <xf numFmtId="0" fontId="3" fillId="0" borderId="4" xfId="0" applyFont="1" applyBorder="1" applyAlignment="1">
      <alignment horizontal="center" vertical="center" wrapText="1"/>
    </xf>
    <xf numFmtId="164" fontId="34" fillId="0" borderId="0" xfId="0" applyNumberFormat="1" applyFont="1"/>
    <xf numFmtId="0" fontId="41" fillId="0" borderId="0" xfId="0" applyFont="1"/>
    <xf numFmtId="0" fontId="43" fillId="29" borderId="26" xfId="0" applyFont="1" applyFill="1" applyBorder="1"/>
    <xf numFmtId="0" fontId="22" fillId="15" borderId="0" xfId="0" applyFont="1" applyFill="1"/>
    <xf numFmtId="0" fontId="22" fillId="15" borderId="63" xfId="0" applyFont="1" applyFill="1" applyBorder="1"/>
    <xf numFmtId="0" fontId="22" fillId="29" borderId="37" xfId="0" applyFont="1" applyFill="1" applyBorder="1"/>
    <xf numFmtId="0" fontId="22" fillId="29" borderId="49" xfId="0" applyFont="1" applyFill="1" applyBorder="1"/>
    <xf numFmtId="0" fontId="22" fillId="30" borderId="50" xfId="0" applyFont="1" applyFill="1" applyBorder="1"/>
    <xf numFmtId="0" fontId="22" fillId="29" borderId="65" xfId="0" applyFont="1" applyFill="1" applyBorder="1"/>
    <xf numFmtId="0" fontId="22" fillId="30" borderId="61" xfId="0" applyFont="1" applyFill="1" applyBorder="1"/>
    <xf numFmtId="0" fontId="22" fillId="29" borderId="0" xfId="0" applyFont="1" applyFill="1"/>
    <xf numFmtId="0" fontId="22" fillId="29" borderId="26" xfId="0" applyFont="1" applyFill="1" applyBorder="1"/>
    <xf numFmtId="0" fontId="42" fillId="28" borderId="26" xfId="0" applyFont="1" applyFill="1" applyBorder="1" applyAlignment="1">
      <alignment horizontal="center"/>
    </xf>
    <xf numFmtId="0" fontId="42" fillId="28" borderId="25" xfId="0" applyFont="1" applyFill="1" applyBorder="1" applyAlignment="1">
      <alignment horizontal="center"/>
    </xf>
    <xf numFmtId="0" fontId="22" fillId="0" borderId="39" xfId="0" applyFont="1" applyBorder="1" applyAlignment="1">
      <alignment horizontal="center"/>
    </xf>
    <xf numFmtId="164" fontId="22" fillId="17" borderId="62" xfId="0" applyNumberFormat="1" applyFont="1" applyFill="1" applyBorder="1" applyAlignment="1">
      <alignment horizontal="center"/>
    </xf>
    <xf numFmtId="164" fontId="22" fillId="0" borderId="39" xfId="0" applyNumberFormat="1" applyFont="1" applyBorder="1" applyAlignment="1">
      <alignment horizontal="center"/>
    </xf>
    <xf numFmtId="9" fontId="22" fillId="0" borderId="39" xfId="0" applyNumberFormat="1" applyFont="1" applyBorder="1" applyAlignment="1">
      <alignment horizontal="center"/>
    </xf>
    <xf numFmtId="164" fontId="22" fillId="0" borderId="62" xfId="0" applyNumberFormat="1" applyFont="1" applyBorder="1" applyAlignment="1">
      <alignment horizontal="center"/>
    </xf>
    <xf numFmtId="0" fontId="22" fillId="0" borderId="38" xfId="0" applyFont="1" applyBorder="1"/>
    <xf numFmtId="164" fontId="22" fillId="29" borderId="26" xfId="0" applyNumberFormat="1" applyFont="1" applyFill="1" applyBorder="1" applyAlignment="1">
      <alignment horizontal="center"/>
    </xf>
    <xf numFmtId="164" fontId="22" fillId="15" borderId="39" xfId="0" applyNumberFormat="1" applyFont="1" applyFill="1" applyBorder="1" applyAlignment="1">
      <alignment horizontal="center"/>
    </xf>
    <xf numFmtId="164" fontId="22" fillId="15" borderId="62" xfId="0" applyNumberFormat="1" applyFont="1" applyFill="1" applyBorder="1" applyAlignment="1">
      <alignment horizontal="center"/>
    </xf>
    <xf numFmtId="164" fontId="44" fillId="0" borderId="26" xfId="0" applyNumberFormat="1" applyFont="1" applyBorder="1" applyAlignment="1">
      <alignment horizontal="center"/>
    </xf>
    <xf numFmtId="10" fontId="44" fillId="0" borderId="26" xfId="0" applyNumberFormat="1" applyFont="1" applyBorder="1" applyAlignment="1">
      <alignment horizontal="center"/>
    </xf>
    <xf numFmtId="164" fontId="22" fillId="0" borderId="26" xfId="0" applyNumberFormat="1" applyFont="1" applyBorder="1" applyAlignment="1">
      <alignment horizontal="center"/>
    </xf>
    <xf numFmtId="10" fontId="22" fillId="0" borderId="26" xfId="0" applyNumberFormat="1" applyFont="1" applyBorder="1" applyAlignment="1">
      <alignment horizontal="center"/>
    </xf>
    <xf numFmtId="164" fontId="22" fillId="0" borderId="40" xfId="0" applyNumberFormat="1" applyFont="1" applyBorder="1" applyAlignment="1">
      <alignment horizontal="center"/>
    </xf>
    <xf numFmtId="164" fontId="22" fillId="0" borderId="67" xfId="0" applyNumberFormat="1" applyFont="1" applyBorder="1" applyAlignment="1">
      <alignment horizontal="center"/>
    </xf>
    <xf numFmtId="164" fontId="22" fillId="15" borderId="67" xfId="0" applyNumberFormat="1" applyFont="1" applyFill="1" applyBorder="1" applyAlignment="1">
      <alignment horizontal="center"/>
    </xf>
    <xf numFmtId="0" fontId="32" fillId="0" borderId="0" xfId="0" applyFont="1"/>
    <xf numFmtId="10" fontId="22" fillId="0" borderId="39" xfId="0" applyNumberFormat="1" applyFont="1" applyBorder="1" applyAlignment="1">
      <alignment horizontal="center"/>
    </xf>
    <xf numFmtId="10" fontId="1" fillId="0" borderId="0" xfId="0" applyNumberFormat="1" applyFont="1" applyAlignment="1">
      <alignment horizontal="center"/>
    </xf>
    <xf numFmtId="0" fontId="0" fillId="5" borderId="0" xfId="0" applyFill="1"/>
    <xf numFmtId="0" fontId="22" fillId="8" borderId="64" xfId="0" applyFont="1" applyFill="1" applyBorder="1"/>
    <xf numFmtId="0" fontId="22" fillId="8" borderId="50" xfId="0" applyFont="1" applyFill="1" applyBorder="1"/>
    <xf numFmtId="0" fontId="22" fillId="8" borderId="61" xfId="0" applyFont="1" applyFill="1" applyBorder="1"/>
    <xf numFmtId="168" fontId="22" fillId="0" borderId="0" xfId="0" applyNumberFormat="1" applyFont="1" applyAlignment="1">
      <alignment horizontal="center"/>
    </xf>
    <xf numFmtId="164" fontId="22" fillId="0" borderId="22" xfId="0" applyNumberFormat="1" applyFont="1" applyBorder="1" applyAlignment="1">
      <alignment horizontal="center"/>
    </xf>
    <xf numFmtId="168" fontId="22" fillId="0" borderId="26" xfId="0" applyNumberFormat="1" applyFont="1" applyBorder="1" applyAlignment="1">
      <alignment horizontal="center"/>
    </xf>
    <xf numFmtId="168" fontId="22" fillId="5" borderId="26" xfId="0" applyNumberFormat="1" applyFont="1" applyFill="1" applyBorder="1" applyAlignment="1">
      <alignment horizontal="center"/>
    </xf>
    <xf numFmtId="168" fontId="22" fillId="18" borderId="26" xfId="0" applyNumberFormat="1" applyFont="1" applyFill="1" applyBorder="1" applyAlignment="1">
      <alignment horizontal="center"/>
    </xf>
    <xf numFmtId="9" fontId="22" fillId="8" borderId="26" xfId="0" applyNumberFormat="1" applyFont="1" applyFill="1" applyBorder="1" applyAlignment="1">
      <alignment horizontal="center"/>
    </xf>
    <xf numFmtId="164" fontId="44" fillId="2" borderId="39" xfId="0" applyNumberFormat="1" applyFont="1" applyFill="1" applyBorder="1" applyAlignment="1">
      <alignment horizontal="center"/>
    </xf>
    <xf numFmtId="9" fontId="44" fillId="2" borderId="39" xfId="0" applyNumberFormat="1" applyFont="1" applyFill="1" applyBorder="1" applyAlignment="1">
      <alignment horizontal="center"/>
    </xf>
    <xf numFmtId="9" fontId="1" fillId="0" borderId="0" xfId="0" applyNumberFormat="1" applyFont="1" applyAlignment="1">
      <alignment horizontal="center"/>
    </xf>
    <xf numFmtId="9" fontId="0" fillId="0" borderId="0" xfId="0" applyNumberFormat="1" applyAlignment="1">
      <alignment horizontal="center"/>
    </xf>
    <xf numFmtId="165" fontId="1" fillId="0" borderId="0" xfId="0" applyNumberFormat="1" applyFont="1"/>
    <xf numFmtId="165" fontId="1" fillId="27" borderId="26" xfId="0" applyNumberFormat="1" applyFont="1" applyFill="1" applyBorder="1"/>
    <xf numFmtId="168" fontId="1" fillId="27" borderId="26" xfId="0" applyNumberFormat="1" applyFont="1" applyFill="1" applyBorder="1" applyAlignment="1">
      <alignment horizontal="center"/>
    </xf>
    <xf numFmtId="0" fontId="1" fillId="27" borderId="26" xfId="0" applyFont="1" applyFill="1" applyBorder="1"/>
    <xf numFmtId="164" fontId="32" fillId="27" borderId="26" xfId="0" applyNumberFormat="1" applyFont="1" applyFill="1" applyBorder="1" applyAlignment="1">
      <alignment horizontal="center" wrapText="1"/>
    </xf>
    <xf numFmtId="0" fontId="1" fillId="27" borderId="26" xfId="0" applyFont="1" applyFill="1" applyBorder="1" applyAlignment="1">
      <alignment horizontal="center"/>
    </xf>
    <xf numFmtId="164" fontId="1" fillId="27" borderId="26" xfId="0" applyNumberFormat="1" applyFont="1" applyFill="1" applyBorder="1" applyAlignment="1">
      <alignment horizontal="center"/>
    </xf>
    <xf numFmtId="0" fontId="22" fillId="0" borderId="61" xfId="0" applyFont="1" applyBorder="1"/>
    <xf numFmtId="0" fontId="22" fillId="0" borderId="50" xfId="0" applyFont="1" applyBorder="1"/>
    <xf numFmtId="0" fontId="43" fillId="0" borderId="50" xfId="0" applyFont="1" applyBorder="1"/>
    <xf numFmtId="9" fontId="44" fillId="2" borderId="40" xfId="0" applyNumberFormat="1" applyFont="1" applyFill="1" applyBorder="1" applyAlignment="1">
      <alignment horizontal="center"/>
    </xf>
    <xf numFmtId="164" fontId="22" fillId="17" borderId="68" xfId="0" applyNumberFormat="1" applyFont="1" applyFill="1" applyBorder="1" applyAlignment="1">
      <alignment horizontal="center"/>
    </xf>
    <xf numFmtId="0" fontId="22" fillId="15" borderId="26" xfId="0" applyFont="1" applyFill="1" applyBorder="1" applyAlignment="1">
      <alignment horizontal="center"/>
    </xf>
    <xf numFmtId="0" fontId="22" fillId="2" borderId="33" xfId="0" applyFont="1" applyFill="1" applyBorder="1"/>
    <xf numFmtId="168" fontId="22" fillId="2" borderId="26" xfId="0" applyNumberFormat="1" applyFont="1" applyFill="1" applyBorder="1" applyAlignment="1">
      <alignment horizontal="center"/>
    </xf>
    <xf numFmtId="164" fontId="22" fillId="2" borderId="39" xfId="0" applyNumberFormat="1" applyFont="1" applyFill="1" applyBorder="1" applyAlignment="1">
      <alignment horizontal="center"/>
    </xf>
    <xf numFmtId="9" fontId="22" fillId="2" borderId="39" xfId="0" applyNumberFormat="1" applyFont="1" applyFill="1" applyBorder="1" applyAlignment="1">
      <alignment horizontal="center"/>
    </xf>
    <xf numFmtId="9" fontId="22" fillId="0" borderId="25" xfId="0" applyNumberFormat="1" applyFont="1" applyBorder="1" applyAlignment="1">
      <alignment horizontal="center"/>
    </xf>
    <xf numFmtId="168" fontId="22" fillId="0" borderId="36" xfId="0" applyNumberFormat="1" applyFont="1" applyBorder="1" applyAlignment="1">
      <alignment horizontal="center"/>
    </xf>
    <xf numFmtId="164" fontId="44" fillId="2" borderId="62" xfId="0" applyNumberFormat="1" applyFont="1" applyFill="1" applyBorder="1" applyAlignment="1">
      <alignment horizontal="center"/>
    </xf>
    <xf numFmtId="9" fontId="44" fillId="2" borderId="62" xfId="0" applyNumberFormat="1" applyFont="1" applyFill="1" applyBorder="1" applyAlignment="1">
      <alignment horizontal="center"/>
    </xf>
    <xf numFmtId="164" fontId="22" fillId="0" borderId="38" xfId="0" applyNumberFormat="1" applyFont="1" applyBorder="1" applyAlignment="1">
      <alignment horizontal="center"/>
    </xf>
    <xf numFmtId="9" fontId="22" fillId="0" borderId="62" xfId="0" applyNumberFormat="1" applyFont="1" applyBorder="1" applyAlignment="1">
      <alignment horizontal="center"/>
    </xf>
    <xf numFmtId="164" fontId="22" fillId="6" borderId="54" xfId="0" applyNumberFormat="1" applyFont="1" applyFill="1" applyBorder="1" applyAlignment="1">
      <alignment horizontal="center"/>
    </xf>
    <xf numFmtId="164" fontId="44" fillId="6" borderId="26" xfId="0" applyNumberFormat="1" applyFont="1" applyFill="1" applyBorder="1" applyAlignment="1">
      <alignment horizontal="center"/>
    </xf>
    <xf numFmtId="10" fontId="44" fillId="6" borderId="26" xfId="0" applyNumberFormat="1" applyFont="1" applyFill="1" applyBorder="1" applyAlignment="1">
      <alignment horizontal="center"/>
    </xf>
    <xf numFmtId="164" fontId="22" fillId="6" borderId="49" xfId="0" applyNumberFormat="1" applyFont="1" applyFill="1" applyBorder="1" applyAlignment="1">
      <alignment horizontal="center"/>
    </xf>
    <xf numFmtId="0" fontId="22" fillId="2" borderId="54" xfId="0" applyFont="1" applyFill="1" applyBorder="1"/>
    <xf numFmtId="164" fontId="22" fillId="2" borderId="25" xfId="0" applyNumberFormat="1" applyFont="1" applyFill="1" applyBorder="1" applyAlignment="1">
      <alignment horizontal="center"/>
    </xf>
    <xf numFmtId="164" fontId="44" fillId="2" borderId="26" xfId="0" applyNumberFormat="1" applyFont="1" applyFill="1" applyBorder="1" applyAlignment="1">
      <alignment horizontal="center"/>
    </xf>
    <xf numFmtId="10" fontId="44" fillId="2" borderId="26" xfId="0" applyNumberFormat="1" applyFont="1" applyFill="1" applyBorder="1" applyAlignment="1">
      <alignment horizontal="center"/>
    </xf>
    <xf numFmtId="164" fontId="22" fillId="2" borderId="34" xfId="0" applyNumberFormat="1" applyFont="1" applyFill="1" applyBorder="1" applyAlignment="1">
      <alignment horizontal="center"/>
    </xf>
    <xf numFmtId="164" fontId="22" fillId="2" borderId="54" xfId="0" applyNumberFormat="1" applyFont="1" applyFill="1" applyBorder="1" applyAlignment="1">
      <alignment horizontal="center"/>
    </xf>
    <xf numFmtId="164" fontId="22" fillId="2" borderId="26" xfId="0" applyNumberFormat="1" applyFont="1" applyFill="1" applyBorder="1" applyAlignment="1">
      <alignment horizontal="center"/>
    </xf>
    <xf numFmtId="10" fontId="22" fillId="2" borderId="26" xfId="0" applyNumberFormat="1" applyFont="1" applyFill="1" applyBorder="1" applyAlignment="1">
      <alignment horizontal="center"/>
    </xf>
    <xf numFmtId="164" fontId="22" fillId="2" borderId="49" xfId="0" applyNumberFormat="1" applyFont="1" applyFill="1" applyBorder="1" applyAlignment="1">
      <alignment horizontal="center"/>
    </xf>
    <xf numFmtId="164" fontId="22" fillId="2" borderId="51" xfId="0" applyNumberFormat="1" applyFont="1" applyFill="1" applyBorder="1" applyAlignment="1">
      <alignment horizontal="center"/>
    </xf>
    <xf numFmtId="0" fontId="22" fillId="2" borderId="60" xfId="0" applyFont="1" applyFill="1" applyBorder="1"/>
    <xf numFmtId="164" fontId="22" fillId="2" borderId="66" xfId="0" applyNumberFormat="1" applyFont="1" applyFill="1" applyBorder="1" applyAlignment="1">
      <alignment horizontal="center"/>
    </xf>
    <xf numFmtId="164" fontId="22" fillId="2" borderId="31" xfId="0" applyNumberFormat="1" applyFont="1" applyFill="1" applyBorder="1" applyAlignment="1">
      <alignment horizontal="center"/>
    </xf>
    <xf numFmtId="10" fontId="22" fillId="2" borderId="31" xfId="0" applyNumberFormat="1" applyFont="1" applyFill="1" applyBorder="1" applyAlignment="1">
      <alignment horizontal="center"/>
    </xf>
    <xf numFmtId="164" fontId="22" fillId="2" borderId="0" xfId="0" applyNumberFormat="1" applyFont="1" applyFill="1" applyAlignment="1">
      <alignment horizontal="center"/>
    </xf>
    <xf numFmtId="164" fontId="44" fillId="0" borderId="31" xfId="0" applyNumberFormat="1" applyFont="1" applyBorder="1" applyAlignment="1">
      <alignment horizontal="center"/>
    </xf>
    <xf numFmtId="0" fontId="22" fillId="2" borderId="61" xfId="0" applyFont="1" applyFill="1" applyBorder="1"/>
    <xf numFmtId="0" fontId="22" fillId="6" borderId="38" xfId="0" applyFont="1" applyFill="1" applyBorder="1"/>
    <xf numFmtId="164" fontId="22" fillId="6" borderId="62" xfId="0" applyNumberFormat="1" applyFont="1" applyFill="1" applyBorder="1" applyAlignment="1">
      <alignment horizontal="center"/>
    </xf>
    <xf numFmtId="164" fontId="22" fillId="6" borderId="67" xfId="0" applyNumberFormat="1" applyFont="1" applyFill="1" applyBorder="1" applyAlignment="1">
      <alignment horizontal="center"/>
    </xf>
    <xf numFmtId="0" fontId="22" fillId="2" borderId="26" xfId="0" applyFont="1" applyFill="1" applyBorder="1"/>
    <xf numFmtId="164" fontId="44" fillId="0" borderId="25" xfId="0" applyNumberFormat="1" applyFont="1" applyBorder="1" applyAlignment="1">
      <alignment horizontal="center"/>
    </xf>
    <xf numFmtId="164" fontId="44" fillId="2" borderId="25" xfId="0" applyNumberFormat="1" applyFont="1" applyFill="1" applyBorder="1" applyAlignment="1">
      <alignment horizontal="center"/>
    </xf>
    <xf numFmtId="164" fontId="22" fillId="0" borderId="25" xfId="0" applyNumberFormat="1" applyFont="1" applyBorder="1" applyAlignment="1">
      <alignment horizontal="center"/>
    </xf>
    <xf numFmtId="0" fontId="43" fillId="6" borderId="50" xfId="0" applyFont="1" applyFill="1" applyBorder="1"/>
    <xf numFmtId="164" fontId="22" fillId="6" borderId="36" xfId="0" applyNumberFormat="1" applyFont="1" applyFill="1" applyBorder="1" applyAlignment="1">
      <alignment horizontal="center"/>
    </xf>
    <xf numFmtId="164" fontId="22" fillId="6" borderId="26" xfId="0" applyNumberFormat="1" applyFont="1" applyFill="1" applyBorder="1" applyAlignment="1">
      <alignment horizontal="center"/>
    </xf>
    <xf numFmtId="10" fontId="22" fillId="6" borderId="26" xfId="0" applyNumberFormat="1" applyFont="1" applyFill="1" applyBorder="1" applyAlignment="1">
      <alignment horizontal="center"/>
    </xf>
    <xf numFmtId="0" fontId="22" fillId="2" borderId="22" xfId="0" applyFont="1" applyFill="1" applyBorder="1"/>
    <xf numFmtId="164" fontId="22" fillId="2" borderId="40" xfId="0" applyNumberFormat="1" applyFont="1" applyFill="1" applyBorder="1" applyAlignment="1">
      <alignment horizontal="center"/>
    </xf>
    <xf numFmtId="0" fontId="22" fillId="31" borderId="36" xfId="0" applyFont="1" applyFill="1" applyBorder="1"/>
    <xf numFmtId="164" fontId="22" fillId="31" borderId="54" xfId="0" applyNumberFormat="1" applyFont="1" applyFill="1" applyBorder="1" applyAlignment="1">
      <alignment horizontal="center"/>
    </xf>
    <xf numFmtId="164" fontId="44" fillId="31" borderId="26" xfId="0" applyNumberFormat="1" applyFont="1" applyFill="1" applyBorder="1" applyAlignment="1">
      <alignment horizontal="center"/>
    </xf>
    <xf numFmtId="10" fontId="44" fillId="31" borderId="26" xfId="0" applyNumberFormat="1" applyFont="1" applyFill="1" applyBorder="1" applyAlignment="1">
      <alignment horizontal="center"/>
    </xf>
    <xf numFmtId="164" fontId="22" fillId="31" borderId="49" xfId="0" applyNumberFormat="1" applyFont="1" applyFill="1" applyBorder="1" applyAlignment="1">
      <alignment horizontal="center"/>
    </xf>
    <xf numFmtId="0" fontId="22" fillId="31" borderId="26" xfId="0" applyFont="1" applyFill="1" applyBorder="1"/>
    <xf numFmtId="10" fontId="22" fillId="31" borderId="26" xfId="0" applyNumberFormat="1" applyFont="1" applyFill="1" applyBorder="1" applyAlignment="1">
      <alignment horizontal="center"/>
    </xf>
    <xf numFmtId="0" fontId="22" fillId="31" borderId="26" xfId="0" applyFont="1" applyFill="1" applyBorder="1" applyAlignment="1">
      <alignment horizontal="center"/>
    </xf>
    <xf numFmtId="10" fontId="22" fillId="31" borderId="25" xfId="0" applyNumberFormat="1" applyFont="1" applyFill="1" applyBorder="1" applyAlignment="1">
      <alignment horizontal="center"/>
    </xf>
    <xf numFmtId="10" fontId="22" fillId="31" borderId="54" xfId="0" applyNumberFormat="1" applyFont="1" applyFill="1" applyBorder="1" applyAlignment="1">
      <alignment horizontal="center"/>
    </xf>
    <xf numFmtId="0" fontId="22" fillId="31" borderId="36" xfId="0" applyFont="1" applyFill="1" applyBorder="1" applyAlignment="1">
      <alignment horizontal="center"/>
    </xf>
    <xf numFmtId="10" fontId="44" fillId="31" borderId="36" xfId="0" applyNumberFormat="1" applyFont="1" applyFill="1" applyBorder="1" applyAlignment="1">
      <alignment horizontal="center"/>
    </xf>
    <xf numFmtId="10" fontId="22" fillId="31" borderId="49" xfId="0" applyNumberFormat="1" applyFont="1" applyFill="1" applyBorder="1" applyAlignment="1">
      <alignment horizontal="center"/>
    </xf>
    <xf numFmtId="0" fontId="22" fillId="31" borderId="38" xfId="0" applyFont="1" applyFill="1" applyBorder="1"/>
    <xf numFmtId="10" fontId="45" fillId="31" borderId="54" xfId="0" applyNumberFormat="1" applyFont="1" applyFill="1" applyBorder="1" applyAlignment="1">
      <alignment horizontal="center"/>
    </xf>
    <xf numFmtId="10" fontId="45" fillId="31" borderId="49" xfId="0" applyNumberFormat="1" applyFont="1" applyFill="1" applyBorder="1" applyAlignment="1">
      <alignment horizontal="center"/>
    </xf>
    <xf numFmtId="10" fontId="22" fillId="31" borderId="62" xfId="0" applyNumberFormat="1" applyFont="1" applyFill="1" applyBorder="1" applyAlignment="1">
      <alignment horizontal="center"/>
    </xf>
    <xf numFmtId="10" fontId="22" fillId="31" borderId="67" xfId="0" applyNumberFormat="1" applyFont="1" applyFill="1" applyBorder="1" applyAlignment="1">
      <alignment horizontal="center"/>
    </xf>
    <xf numFmtId="10" fontId="22" fillId="31" borderId="50" xfId="0" applyNumberFormat="1" applyFont="1" applyFill="1" applyBorder="1" applyAlignment="1">
      <alignment horizontal="center"/>
    </xf>
    <xf numFmtId="0" fontId="1" fillId="0" borderId="52" xfId="0" applyFont="1" applyBorder="1"/>
    <xf numFmtId="0" fontId="1" fillId="0" borderId="64" xfId="0" applyFont="1" applyBorder="1"/>
    <xf numFmtId="0" fontId="1" fillId="31" borderId="27" xfId="0" applyFont="1" applyFill="1" applyBorder="1"/>
    <xf numFmtId="171" fontId="1" fillId="0" borderId="31" xfId="0" applyNumberFormat="1" applyFont="1" applyBorder="1"/>
    <xf numFmtId="171" fontId="1" fillId="0" borderId="60" xfId="0" applyNumberFormat="1" applyFont="1" applyBorder="1"/>
    <xf numFmtId="171" fontId="46" fillId="0" borderId="60" xfId="0" applyNumberFormat="1" applyFont="1" applyBorder="1"/>
    <xf numFmtId="171" fontId="46" fillId="31" borderId="26" xfId="0" applyNumberFormat="1" applyFont="1" applyFill="1" applyBorder="1"/>
    <xf numFmtId="17" fontId="1" fillId="6" borderId="0" xfId="0" applyNumberFormat="1" applyFont="1" applyFill="1"/>
    <xf numFmtId="164" fontId="44" fillId="2" borderId="69" xfId="0" applyNumberFormat="1" applyFont="1" applyFill="1" applyBorder="1" applyAlignment="1">
      <alignment horizontal="center"/>
    </xf>
    <xf numFmtId="9" fontId="44" fillId="2" borderId="70" xfId="0" applyNumberFormat="1" applyFont="1" applyFill="1" applyBorder="1" applyAlignment="1">
      <alignment horizontal="center"/>
    </xf>
    <xf numFmtId="9" fontId="44" fillId="2" borderId="67" xfId="0" applyNumberFormat="1" applyFont="1" applyFill="1" applyBorder="1" applyAlignment="1">
      <alignment horizontal="center"/>
    </xf>
    <xf numFmtId="9" fontId="22" fillId="0" borderId="26" xfId="0" applyNumberFormat="1" applyFont="1" applyBorder="1" applyAlignment="1">
      <alignment horizontal="center"/>
    </xf>
    <xf numFmtId="9" fontId="22" fillId="0" borderId="27" xfId="0" applyNumberFormat="1" applyFont="1" applyBorder="1" applyAlignment="1">
      <alignment horizontal="center"/>
    </xf>
    <xf numFmtId="9" fontId="44" fillId="0" borderId="26" xfId="0" applyNumberFormat="1" applyFont="1" applyBorder="1" applyAlignment="1">
      <alignment horizontal="center"/>
    </xf>
    <xf numFmtId="0" fontId="39" fillId="0" borderId="0" xfId="0" applyFont="1"/>
    <xf numFmtId="0" fontId="22" fillId="15" borderId="50" xfId="0" applyFont="1" applyFill="1" applyBorder="1" applyAlignment="1">
      <alignment horizontal="center"/>
    </xf>
    <xf numFmtId="0" fontId="22" fillId="15" borderId="49" xfId="0" applyFont="1" applyFill="1" applyBorder="1" applyAlignment="1">
      <alignment horizontal="center"/>
    </xf>
    <xf numFmtId="0" fontId="41" fillId="0" borderId="49" xfId="0" applyFont="1" applyBorder="1" applyAlignment="1">
      <alignment horizontal="center"/>
    </xf>
    <xf numFmtId="9" fontId="41" fillId="0" borderId="49" xfId="0" applyNumberFormat="1" applyFont="1" applyBorder="1" applyAlignment="1">
      <alignment horizontal="center"/>
    </xf>
    <xf numFmtId="0" fontId="22" fillId="0" borderId="49" xfId="0" applyFont="1" applyBorder="1" applyAlignment="1">
      <alignment horizontal="center"/>
    </xf>
    <xf numFmtId="0" fontId="0" fillId="0" borderId="49" xfId="0" applyBorder="1"/>
    <xf numFmtId="0" fontId="47" fillId="0" borderId="49" xfId="0" applyFont="1" applyBorder="1"/>
    <xf numFmtId="0" fontId="48" fillId="0" borderId="49" xfId="0" applyFont="1" applyBorder="1" applyAlignment="1">
      <alignment horizontal="center" wrapText="1"/>
    </xf>
    <xf numFmtId="9" fontId="48" fillId="0" borderId="54" xfId="0" applyNumberFormat="1" applyFont="1" applyBorder="1" applyAlignment="1">
      <alignment horizontal="center" wrapText="1"/>
    </xf>
    <xf numFmtId="0" fontId="42" fillId="28" borderId="36" xfId="0" applyFont="1" applyFill="1" applyBorder="1" applyAlignment="1">
      <alignment horizontal="center"/>
    </xf>
    <xf numFmtId="0" fontId="42" fillId="28" borderId="54" xfId="0" applyFont="1" applyFill="1" applyBorder="1" applyAlignment="1">
      <alignment horizontal="center"/>
    </xf>
    <xf numFmtId="0" fontId="22" fillId="0" borderId="54" xfId="0" applyFont="1" applyBorder="1" applyAlignment="1">
      <alignment horizontal="center" wrapText="1"/>
    </xf>
    <xf numFmtId="9" fontId="22" fillId="0" borderId="49" xfId="0" applyNumberFormat="1" applyFont="1" applyBorder="1" applyAlignment="1">
      <alignment horizontal="center"/>
    </xf>
    <xf numFmtId="0" fontId="0" fillId="0" borderId="64" xfId="0" applyBorder="1" applyAlignment="1">
      <alignment horizontal="center"/>
    </xf>
    <xf numFmtId="0" fontId="12" fillId="0" borderId="0" xfId="0" applyFont="1" applyAlignment="1">
      <alignment horizontal="center" wrapText="1"/>
    </xf>
    <xf numFmtId="0" fontId="20" fillId="0" borderId="0" xfId="0" applyFont="1" applyAlignment="1">
      <alignment horizontal="center"/>
    </xf>
    <xf numFmtId="0" fontId="12" fillId="0" borderId="27" xfId="0" applyFont="1" applyBorder="1" applyAlignment="1">
      <alignment horizontal="center" wrapText="1"/>
    </xf>
    <xf numFmtId="0" fontId="12" fillId="0" borderId="34" xfId="0" applyFont="1" applyBorder="1" applyAlignment="1">
      <alignment horizontal="center" wrapText="1"/>
    </xf>
    <xf numFmtId="0" fontId="12" fillId="0" borderId="25" xfId="0" applyFont="1" applyBorder="1" applyAlignment="1">
      <alignment horizontal="center" wrapText="1"/>
    </xf>
    <xf numFmtId="0" fontId="36" fillId="0" borderId="27" xfId="0" applyFont="1" applyBorder="1" applyAlignment="1">
      <alignment horizontal="center" wrapText="1"/>
    </xf>
    <xf numFmtId="0" fontId="16" fillId="0" borderId="0" xfId="0" applyFont="1" applyAlignment="1">
      <alignment horizontal="center"/>
    </xf>
    <xf numFmtId="0" fontId="0" fillId="26" borderId="17" xfId="0" applyFill="1" applyBorder="1" applyAlignment="1">
      <alignment horizontal="center"/>
    </xf>
    <xf numFmtId="0" fontId="0" fillId="26" borderId="0" xfId="0" applyFill="1" applyAlignment="1">
      <alignment horizontal="center"/>
    </xf>
    <xf numFmtId="0" fontId="1" fillId="26" borderId="71" xfId="0" applyFont="1" applyFill="1" applyBorder="1" applyAlignment="1">
      <alignment horizontal="center"/>
    </xf>
    <xf numFmtId="0" fontId="1" fillId="26" borderId="1" xfId="0" applyFont="1" applyFill="1" applyBorder="1" applyAlignment="1">
      <alignment horizontal="center"/>
    </xf>
    <xf numFmtId="0" fontId="39" fillId="0" borderId="0" xfId="0" applyFont="1" applyAlignment="1">
      <alignment horizontal="center"/>
    </xf>
    <xf numFmtId="0" fontId="34" fillId="9" borderId="27" xfId="0" applyFont="1" applyFill="1" applyBorder="1" applyAlignment="1">
      <alignment horizontal="center"/>
    </xf>
    <xf numFmtId="0" fontId="34" fillId="9" borderId="25" xfId="0" applyFont="1" applyFill="1" applyBorder="1" applyAlignment="1">
      <alignment horizontal="center"/>
    </xf>
    <xf numFmtId="0" fontId="32" fillId="0" borderId="27" xfId="0" applyFont="1" applyBorder="1" applyAlignment="1">
      <alignment horizontal="center"/>
    </xf>
    <xf numFmtId="0" fontId="32" fillId="0" borderId="25" xfId="0" applyFont="1" applyBorder="1" applyAlignment="1">
      <alignment horizontal="center"/>
    </xf>
    <xf numFmtId="0" fontId="37" fillId="0" borderId="0" xfId="0" applyFont="1" applyAlignment="1">
      <alignment horizontal="center"/>
    </xf>
  </cellXfs>
  <cellStyles count="1">
    <cellStyle name="Normal" xfId="0" builtinId="0"/>
  </cellStyles>
  <dxfs count="5">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006298"/>
      <color rgb="FFF75E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ocumenttasks/documenttask1.xml><?xml version="1.0" encoding="utf-8"?>
<Tasks xmlns="http://schemas.microsoft.com/office/tasks/2019/documenttasks">
  <Task id="{B2E88093-E703-468A-84B4-B60E26CBB14C}">
    <Anchor>
      <Comment id="{7D2CB328-E62D-4F03-9F73-52E03310E526}"/>
    </Anchor>
    <History>
      <Event time="2025-05-27T15:28:08.0" id="{B5B6D236-CB5C-4996-B86E-11B41CA4DBE9}">
        <Attribution userId="S::kim@bbaprogram.ca::7b704986-c0d5-49df-9481-16feb3260ab6" userName="Kim Dudas" userProvider="AD"/>
        <Anchor>
          <Comment id="{7D2CB328-E62D-4F03-9F73-52E03310E526}"/>
        </Anchor>
        <Create/>
      </Event>
      <Event time="2025-05-27T15:28:08.0" id="{94F5B2B0-9AA5-40B4-A9FF-11FD92A09CE7}">
        <Attribution userId="S::kim@bbaprogram.ca::7b704986-c0d5-49df-9481-16feb3260ab6" userName="Kim Dudas" userProvider="AD"/>
        <Anchor>
          <Comment id="{7D2CB328-E62D-4F03-9F73-52E03310E526}"/>
        </Anchor>
        <Assign userId="S::greg@bbaprogram.ca::f953793a-c8a1-4985-b7bd-949a56f072a8" userName="Greg Scroggs" userProvider="AD"/>
      </Event>
      <Event time="2025-05-27T15:28:08.0" id="{C7BA0019-17E5-4D12-8BA2-23C4654D5D18}">
        <Attribution userId="S::kim@bbaprogram.ca::7b704986-c0d5-49df-9481-16feb3260ab6" userName="Kim Dudas" userProvider="AD"/>
        <Anchor>
          <Comment id="{7D2CB328-E62D-4F03-9F73-52E03310E526}"/>
        </Anchor>
        <SetTitle title="@Greg Scroggs Do we want a title in the banner?"/>
      </Event>
    </History>
  </Task>
</Tasks>
</file>

<file path=xl/documenttasks/documenttask2.xml><?xml version="1.0" encoding="utf-8"?>
<Tasks xmlns="http://schemas.microsoft.com/office/tasks/2019/documenttasks">
  <Task id="{88D3BD25-58FD-4674-86D6-7A52AD47B35D}">
    <Anchor>
      <Comment id="{A62A4594-DE7A-42EB-B429-27B486FA01AC}"/>
    </Anchor>
    <History>
      <Event time="2025-05-27T15:26:57.49" id="{F6923EC6-4103-4178-BF40-2E2653F049CD}">
        <Attribution userId="S::kim@bbaprogram.ca::7b704986-c0d5-49df-9481-16feb3260ab6" userName="Kim Dudas" userProvider="AD"/>
        <Anchor>
          <Comment id="{A62A4594-DE7A-42EB-B429-27B486FA01AC}"/>
        </Anchor>
        <Create/>
      </Event>
      <Event time="2025-05-27T15:26:57.49" id="{4B5FCB0F-124D-44C3-9550-80AFD0BAC001}">
        <Attribution userId="S::kim@bbaprogram.ca::7b704986-c0d5-49df-9481-16feb3260ab6" userName="Kim Dudas" userProvider="AD"/>
        <Anchor>
          <Comment id="{A62A4594-DE7A-42EB-B429-27B486FA01AC}"/>
        </Anchor>
        <Assign userId="S::greg@bbaprogram.ca::f953793a-c8a1-4985-b7bd-949a56f072a8" userName="Greg Scroggs" userProvider="AD"/>
      </Event>
      <Event time="2025-05-27T15:26:57.49" id="{8555A851-15C3-4EBA-8EBD-28B45233E0AA}">
        <Attribution userId="S::kim@bbaprogram.ca::7b704986-c0d5-49df-9481-16feb3260ab6" userName="Kim Dudas" userProvider="AD"/>
        <Anchor>
          <Comment id="{A62A4594-DE7A-42EB-B429-27B486FA01AC}"/>
        </Anchor>
        <SetTitle title="@Greg Scroggs Please ensure sheet title is complete in the banner."/>
      </Event>
    </History>
  </Task>
</Tasks>
</file>

<file path=xl/documenttasks/documenttask3.xml><?xml version="1.0" encoding="utf-8"?>
<Tasks xmlns="http://schemas.microsoft.com/office/tasks/2019/documenttasks">
  <Task id="{37B22A52-A67B-4221-AF03-48B87AD945C1}">
    <Anchor>
      <Comment id="{FA8EF111-4C14-4886-96A2-FB2706795E65}"/>
    </Anchor>
    <History>
      <Event time="2025-05-27T15:26:12.41" id="{0ADAE470-3206-4407-9C1A-81D868384B26}">
        <Attribution userId="S::kim@bbaprogram.ca::7b704986-c0d5-49df-9481-16feb3260ab6" userName="Kim Dudas" userProvider="AD"/>
        <Anchor>
          <Comment id="{FA8EF111-4C14-4886-96A2-FB2706795E65}"/>
        </Anchor>
        <Create/>
      </Event>
      <Event time="2025-05-27T15:26:12.41" id="{7B44933C-0DAE-4BCD-858A-22B75CF49BE6}">
        <Attribution userId="S::kim@bbaprogram.ca::7b704986-c0d5-49df-9481-16feb3260ab6" userName="Kim Dudas" userProvider="AD"/>
        <Anchor>
          <Comment id="{FA8EF111-4C14-4886-96A2-FB2706795E65}"/>
        </Anchor>
        <Assign userId="S::greg@bbaprogram.ca::f953793a-c8a1-4985-b7bd-949a56f072a8" userName="Greg Scroggs" userProvider="AD"/>
      </Event>
      <Event time="2025-05-27T15:26:12.41" id="{A39F734A-5223-43F0-A3E3-B953E3B5E6F9}">
        <Attribution userId="S::kim@bbaprogram.ca::7b704986-c0d5-49df-9481-16feb3260ab6" userName="Kim Dudas" userProvider="AD"/>
        <Anchor>
          <Comment id="{FA8EF111-4C14-4886-96A2-FB2706795E65}"/>
        </Anchor>
        <SetTitle title="@Greg Scroggs Please ensure sheet title is complete in banner."/>
      </Event>
    </History>
  </Task>
</Tasks>
</file>

<file path=xl/documenttasks/documenttask4.xml><?xml version="1.0" encoding="utf-8"?>
<Tasks xmlns="http://schemas.microsoft.com/office/tasks/2019/documenttasks">
  <Task id="{9D6A1D19-8890-4C0D-91D2-3F57620FFC3D}">
    <Anchor>
      <Comment id="{80647064-F5C4-4DFD-9F6A-230AF8D6C298}"/>
    </Anchor>
    <History>
      <Event time="2025-05-27T15:25:42.84" id="{25C9B95B-5416-4B72-9BFF-4427C00C35EA}">
        <Attribution userId="S::kim@bbaprogram.ca::7b704986-c0d5-49df-9481-16feb3260ab6" userName="Kim Dudas" userProvider="AD"/>
        <Anchor>
          <Comment id="{80647064-F5C4-4DFD-9F6A-230AF8D6C298}"/>
        </Anchor>
        <Create/>
      </Event>
      <Event time="2025-05-27T15:25:42.84" id="{BECC9EBF-D722-44D3-965E-61BC774CE437}">
        <Attribution userId="S::kim@bbaprogram.ca::7b704986-c0d5-49df-9481-16feb3260ab6" userName="Kim Dudas" userProvider="AD"/>
        <Anchor>
          <Comment id="{80647064-F5C4-4DFD-9F6A-230AF8D6C298}"/>
        </Anchor>
        <Assign userId="S::greg@bbaprogram.ca::f953793a-c8a1-4985-b7bd-949a56f072a8" userName="Greg Scroggs" userProvider="AD"/>
      </Event>
      <Event time="2025-05-27T15:25:42.84" id="{6D2DF5AF-D829-47EB-ABA1-E4A176FA5C46}">
        <Attribution userId="S::kim@bbaprogram.ca::7b704986-c0d5-49df-9481-16feb3260ab6" userName="Kim Dudas" userProvider="AD"/>
        <Anchor>
          <Comment id="{80647064-F5C4-4DFD-9F6A-230AF8D6C298}"/>
        </Anchor>
        <SetTitle title="@Greg Scroggs Please ensure sheet title is complete."/>
      </Event>
    </History>
  </Task>
</Tasks>
</file>

<file path=xl/documenttasks/documenttask5.xml><?xml version="1.0" encoding="utf-8"?>
<Tasks xmlns="http://schemas.microsoft.com/office/tasks/2019/documenttasks">
  <Task id="{2551D12D-42FE-4DE3-B0C1-631017F57E61}">
    <Anchor>
      <Comment id="{F9A32BEB-5D1D-45C2-9F3E-83C7764BD23F}"/>
    </Anchor>
    <History>
      <Event time="2025-05-27T15:08:57.09" id="{C3C770A3-88F7-49AE-A6F5-8A63633240C3}">
        <Attribution userId="S::kim@bbaprogram.ca::7b704986-c0d5-49df-9481-16feb3260ab6" userName="Kim Dudas" userProvider="AD"/>
        <Anchor>
          <Comment id="{F9A32BEB-5D1D-45C2-9F3E-83C7764BD23F}"/>
        </Anchor>
        <Create/>
      </Event>
      <Event time="2025-05-27T15:08:57.09" id="{846DAA6F-E35E-44F9-99C1-7509D50B7C84}">
        <Attribution userId="S::kim@bbaprogram.ca::7b704986-c0d5-49df-9481-16feb3260ab6" userName="Kim Dudas" userProvider="AD"/>
        <Anchor>
          <Comment id="{F9A32BEB-5D1D-45C2-9F3E-83C7764BD23F}"/>
        </Anchor>
        <Assign userId="S::greg@bbaprogram.ca::f953793a-c8a1-4985-b7bd-949a56f072a8" userName="Greg Scroggs" userProvider="AD"/>
      </Event>
      <Event time="2025-05-27T15:08:57.09" id="{143250A9-868F-40DC-89B4-9D10D09C5EBB}">
        <Attribution userId="S::kim@bbaprogram.ca::7b704986-c0d5-49df-9481-16feb3260ab6" userName="Kim Dudas" userProvider="AD"/>
        <Anchor>
          <Comment id="{F9A32BEB-5D1D-45C2-9F3E-83C7764BD23F}"/>
        </Anchor>
        <SetTitle title="@Greg Scroggs Please ensure sheet title is complete."/>
      </Event>
    </History>
  </Task>
</Tasks>
</file>

<file path=xl/documenttasks/documenttask6.xml><?xml version="1.0" encoding="utf-8"?>
<Tasks xmlns="http://schemas.microsoft.com/office/tasks/2019/documenttasks">
  <Task id="{DDC8522D-06E6-4CBE-8866-DF1163D02695}">
    <Anchor>
      <Comment id="{C2F4A9F9-34E3-4C0C-BCC4-2C36D2684808}"/>
    </Anchor>
    <History>
      <Event time="2025-05-27T15:08:22.63" id="{94F24B5F-5EEC-4037-86EC-AB25641DC153}">
        <Attribution userId="S::kim@bbaprogram.ca::7b704986-c0d5-49df-9481-16feb3260ab6" userName="Kim Dudas" userProvider="AD"/>
        <Anchor>
          <Comment id="{C2F4A9F9-34E3-4C0C-BCC4-2C36D2684808}"/>
        </Anchor>
        <Create/>
      </Event>
      <Event time="2025-05-27T15:08:22.63" id="{3D7E1FD7-4533-4FAC-8BCD-B5C13EE6298C}">
        <Attribution userId="S::kim@bbaprogram.ca::7b704986-c0d5-49df-9481-16feb3260ab6" userName="Kim Dudas" userProvider="AD"/>
        <Anchor>
          <Comment id="{C2F4A9F9-34E3-4C0C-BCC4-2C36D2684808}"/>
        </Anchor>
        <Assign userId="S::emily@bbaprogram.ca::c79265cd-b255-4297-910a-c253d4202fee" userName="Emily Compton" userProvider="AD"/>
      </Event>
      <Event time="2025-05-27T15:08:22.63" id="{5F8E43EC-FD4C-4D55-9014-88CC037B6003}">
        <Attribution userId="S::kim@bbaprogram.ca::7b704986-c0d5-49df-9481-16feb3260ab6" userName="Kim Dudas" userProvider="AD"/>
        <Anchor>
          <Comment id="{C2F4A9F9-34E3-4C0C-BCC4-2C36D2684808}"/>
        </Anchor>
        <SetTitle title="@Emily Compton Please brand the Breakeven Calculator sheet and add disclaimer."/>
      </Event>
      <Event time="2025-05-27T15:18:54.61" id="{D66F13E2-3A12-46AC-A1C2-E121B35796C6}">
        <Attribution userId="S::emily@bbaprogram.ca::c79265cd-b255-4297-910a-c253d4202fee" userName="Emily Compton" userProvider="AD"/>
        <Progress percentComplete="100"/>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495300</xdr:colOff>
      <xdr:row>0</xdr:row>
      <xdr:rowOff>676275</xdr:rowOff>
    </xdr:to>
    <xdr:sp macro="" textlink="">
      <xdr:nvSpPr>
        <xdr:cNvPr id="2" name="Rectangle 1">
          <a:extLst>
            <a:ext uri="{FF2B5EF4-FFF2-40B4-BE49-F238E27FC236}">
              <a16:creationId xmlns:a16="http://schemas.microsoft.com/office/drawing/2014/main" id="{07A2948A-556F-40F5-B9B0-6AEA3D7E28B2}"/>
            </a:ext>
          </a:extLst>
        </xdr:cNvPr>
        <xdr:cNvSpPr/>
      </xdr:nvSpPr>
      <xdr:spPr>
        <a:xfrm>
          <a:off x="0" y="0"/>
          <a:ext cx="10582275" cy="6762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a:p>
      </xdr:txBody>
    </xdr:sp>
    <xdr:clientData/>
  </xdr:twoCellAnchor>
  <xdr:twoCellAnchor>
    <xdr:from>
      <xdr:col>1</xdr:col>
      <xdr:colOff>2352675</xdr:colOff>
      <xdr:row>0</xdr:row>
      <xdr:rowOff>228600</xdr:rowOff>
    </xdr:from>
    <xdr:to>
      <xdr:col>12</xdr:col>
      <xdr:colOff>19050</xdr:colOff>
      <xdr:row>0</xdr:row>
      <xdr:rowOff>676275</xdr:rowOff>
    </xdr:to>
    <xdr:sp macro="" textlink="">
      <xdr:nvSpPr>
        <xdr:cNvPr id="26" name="TextBox 2">
          <a:extLst>
            <a:ext uri="{FF2B5EF4-FFF2-40B4-BE49-F238E27FC236}">
              <a16:creationId xmlns:a16="http://schemas.microsoft.com/office/drawing/2014/main" id="{BD6977E7-AC8C-4286-AEE5-074A19B7B7C3}"/>
            </a:ext>
            <a:ext uri="{147F2762-F138-4A5C-976F-8EAC2B608ADB}">
              <a16:predDERef xmlns:a16="http://schemas.microsoft.com/office/drawing/2014/main" pred="{07A2948A-556F-40F5-B9B0-6AEA3D7E28B2}"/>
            </a:ext>
          </a:extLst>
        </xdr:cNvPr>
        <xdr:cNvSpPr txBox="1"/>
      </xdr:nvSpPr>
      <xdr:spPr>
        <a:xfrm>
          <a:off x="2352675" y="228600"/>
          <a:ext cx="6324600" cy="447675"/>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Company Balance Sheet</a:t>
          </a:r>
        </a:p>
      </xdr:txBody>
    </xdr:sp>
    <xdr:clientData/>
  </xdr:twoCellAnchor>
  <xdr:twoCellAnchor editAs="oneCell">
    <xdr:from>
      <xdr:col>1</xdr:col>
      <xdr:colOff>9525</xdr:colOff>
      <xdr:row>0</xdr:row>
      <xdr:rowOff>19050</xdr:rowOff>
    </xdr:from>
    <xdr:to>
      <xdr:col>1</xdr:col>
      <xdr:colOff>838200</xdr:colOff>
      <xdr:row>0</xdr:row>
      <xdr:rowOff>647700</xdr:rowOff>
    </xdr:to>
    <xdr:pic>
      <xdr:nvPicPr>
        <xdr:cNvPr id="27" name="Picture 3">
          <a:extLst>
            <a:ext uri="{FF2B5EF4-FFF2-40B4-BE49-F238E27FC236}">
              <a16:creationId xmlns:a16="http://schemas.microsoft.com/office/drawing/2014/main" id="{9345D995-58EA-4F4D-A33F-08397CB86F8D}"/>
            </a:ext>
            <a:ext uri="{147F2762-F138-4A5C-976F-8EAC2B608ADB}">
              <a16:predDERef xmlns:a16="http://schemas.microsoft.com/office/drawing/2014/main" pred="{BD6977E7-AC8C-4286-AEE5-074A19B7B7C3}"/>
            </a:ext>
          </a:extLst>
        </xdr:cNvPr>
        <xdr:cNvPicPr>
          <a:picLocks noChangeAspect="1"/>
        </xdr:cNvPicPr>
      </xdr:nvPicPr>
      <xdr:blipFill>
        <a:blip xmlns:r="http://schemas.openxmlformats.org/officeDocument/2006/relationships" r:embed="rId1"/>
        <a:stretch>
          <a:fillRect/>
        </a:stretch>
      </xdr:blipFill>
      <xdr:spPr>
        <a:xfrm>
          <a:off x="9525" y="19050"/>
          <a:ext cx="828675" cy="6286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xdr:colOff>
      <xdr:row>0</xdr:row>
      <xdr:rowOff>0</xdr:rowOff>
    </xdr:from>
    <xdr:to>
      <xdr:col>15</xdr:col>
      <xdr:colOff>581025</xdr:colOff>
      <xdr:row>0</xdr:row>
      <xdr:rowOff>790575</xdr:rowOff>
    </xdr:to>
    <xdr:sp macro="" textlink="">
      <xdr:nvSpPr>
        <xdr:cNvPr id="2" name="Rectangle 1">
          <a:extLst>
            <a:ext uri="{FF2B5EF4-FFF2-40B4-BE49-F238E27FC236}">
              <a16:creationId xmlns:a16="http://schemas.microsoft.com/office/drawing/2014/main" id="{BC12466A-DC9D-4C11-8597-AF89DF269EAA}"/>
            </a:ext>
            <a:ext uri="{147F2762-F138-4A5C-976F-8EAC2B608ADB}">
              <a16:predDERef xmlns:a16="http://schemas.microsoft.com/office/drawing/2014/main" pred="{F90B9917-06BA-4F73-BDBD-298224D15BD9}"/>
            </a:ext>
          </a:extLst>
        </xdr:cNvPr>
        <xdr:cNvSpPr/>
      </xdr:nvSpPr>
      <xdr:spPr>
        <a:xfrm>
          <a:off x="9525" y="0"/>
          <a:ext cx="14630400" cy="7905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wrap="square" lIns="91440" tIns="45720" rIns="91440" bIns="45720" rtlCol="0" anchor="t">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b="0" i="0" u="none" strike="noStrike">
            <a:solidFill>
              <a:schemeClr val="lt1"/>
            </a:solidFill>
            <a:latin typeface="Aptos Narrow" panose="020B0004020202020204" pitchFamily="34" charset="0"/>
          </a:endParaRPr>
        </a:p>
      </xdr:txBody>
    </xdr:sp>
    <xdr:clientData/>
  </xdr:twoCellAnchor>
  <xdr:twoCellAnchor>
    <xdr:from>
      <xdr:col>1</xdr:col>
      <xdr:colOff>295275</xdr:colOff>
      <xdr:row>0</xdr:row>
      <xdr:rowOff>323850</xdr:rowOff>
    </xdr:from>
    <xdr:to>
      <xdr:col>10</xdr:col>
      <xdr:colOff>438150</xdr:colOff>
      <xdr:row>0</xdr:row>
      <xdr:rowOff>752475</xdr:rowOff>
    </xdr:to>
    <xdr:sp macro="" textlink="">
      <xdr:nvSpPr>
        <xdr:cNvPr id="3" name="TextBox 2">
          <a:extLst>
            <a:ext uri="{FF2B5EF4-FFF2-40B4-BE49-F238E27FC236}">
              <a16:creationId xmlns:a16="http://schemas.microsoft.com/office/drawing/2014/main" id="{A5A27F9F-A74C-44FE-A37A-667B0DC42FE6}"/>
            </a:ext>
            <a:ext uri="{147F2762-F138-4A5C-976F-8EAC2B608ADB}">
              <a16:predDERef xmlns:a16="http://schemas.microsoft.com/office/drawing/2014/main" pred="{BC12466A-DC9D-4C11-8597-AF89DF269EAA}"/>
            </a:ext>
          </a:extLst>
        </xdr:cNvPr>
        <xdr:cNvSpPr txBox="1"/>
      </xdr:nvSpPr>
      <xdr:spPr>
        <a:xfrm>
          <a:off x="2819400" y="323850"/>
          <a:ext cx="8629650" cy="42862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March, April, May Comparison Report</a:t>
          </a:r>
        </a:p>
      </xdr:txBody>
    </xdr:sp>
    <xdr:clientData/>
  </xdr:twoCellAnchor>
  <xdr:twoCellAnchor editAs="oneCell">
    <xdr:from>
      <xdr:col>0</xdr:col>
      <xdr:colOff>28575</xdr:colOff>
      <xdr:row>0</xdr:row>
      <xdr:rowOff>0</xdr:rowOff>
    </xdr:from>
    <xdr:to>
      <xdr:col>0</xdr:col>
      <xdr:colOff>952500</xdr:colOff>
      <xdr:row>0</xdr:row>
      <xdr:rowOff>781050</xdr:rowOff>
    </xdr:to>
    <xdr:pic>
      <xdr:nvPicPr>
        <xdr:cNvPr id="4" name="Picture 3">
          <a:extLst>
            <a:ext uri="{FF2B5EF4-FFF2-40B4-BE49-F238E27FC236}">
              <a16:creationId xmlns:a16="http://schemas.microsoft.com/office/drawing/2014/main" id="{BB016833-DC82-42C1-AB5C-BC341DC3F5C2}"/>
            </a:ext>
            <a:ext uri="{147F2762-F138-4A5C-976F-8EAC2B608ADB}">
              <a16:predDERef xmlns:a16="http://schemas.microsoft.com/office/drawing/2014/main" pred="{A5A27F9F-A74C-44FE-A37A-667B0DC42FE6}"/>
            </a:ext>
          </a:extLst>
        </xdr:cNvPr>
        <xdr:cNvPicPr>
          <a:picLocks noChangeAspect="1"/>
        </xdr:cNvPicPr>
      </xdr:nvPicPr>
      <xdr:blipFill>
        <a:blip xmlns:r="http://schemas.openxmlformats.org/officeDocument/2006/relationships" r:embed="rId1"/>
        <a:stretch>
          <a:fillRect/>
        </a:stretch>
      </xdr:blipFill>
      <xdr:spPr>
        <a:xfrm>
          <a:off x="28575" y="0"/>
          <a:ext cx="923925" cy="7810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142875</xdr:colOff>
      <xdr:row>4</xdr:row>
      <xdr:rowOff>76200</xdr:rowOff>
    </xdr:to>
    <xdr:sp macro="" textlink="">
      <xdr:nvSpPr>
        <xdr:cNvPr id="2" name="Rectangle 1">
          <a:extLst>
            <a:ext uri="{FF2B5EF4-FFF2-40B4-BE49-F238E27FC236}">
              <a16:creationId xmlns:a16="http://schemas.microsoft.com/office/drawing/2014/main" id="{47A3701B-376F-4E51-964C-F9946C91F461}"/>
            </a:ext>
            <a:ext uri="{147F2762-F138-4A5C-976F-8EAC2B608ADB}">
              <a16:predDERef xmlns:a16="http://schemas.microsoft.com/office/drawing/2014/main" pred="{F90B9917-06BA-4F73-BDBD-298224D15BD9}"/>
            </a:ext>
          </a:extLst>
        </xdr:cNvPr>
        <xdr:cNvSpPr/>
      </xdr:nvSpPr>
      <xdr:spPr>
        <a:xfrm>
          <a:off x="0" y="0"/>
          <a:ext cx="11725275" cy="83820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wrap="square" lIns="91440" tIns="45720" rIns="91440" bIns="45720" rtlCol="0" anchor="t">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b="0" i="0" u="none" strike="noStrike">
            <a:solidFill>
              <a:schemeClr val="lt1"/>
            </a:solidFill>
            <a:latin typeface="Aptos Narrow" panose="020B0004020202020204" pitchFamily="34" charset="0"/>
          </a:endParaRPr>
        </a:p>
      </xdr:txBody>
    </xdr:sp>
    <xdr:clientData/>
  </xdr:twoCellAnchor>
  <xdr:twoCellAnchor>
    <xdr:from>
      <xdr:col>3</xdr:col>
      <xdr:colOff>571500</xdr:colOff>
      <xdr:row>1</xdr:row>
      <xdr:rowOff>171450</xdr:rowOff>
    </xdr:from>
    <xdr:to>
      <xdr:col>15</xdr:col>
      <xdr:colOff>66675</xdr:colOff>
      <xdr:row>4</xdr:row>
      <xdr:rowOff>57150</xdr:rowOff>
    </xdr:to>
    <xdr:sp macro="" textlink="">
      <xdr:nvSpPr>
        <xdr:cNvPr id="3" name="TextBox 2">
          <a:extLst>
            <a:ext uri="{FF2B5EF4-FFF2-40B4-BE49-F238E27FC236}">
              <a16:creationId xmlns:a16="http://schemas.microsoft.com/office/drawing/2014/main" id="{D1F2D706-FA68-43BD-947D-0B8825094CBD}"/>
            </a:ext>
            <a:ext uri="{147F2762-F138-4A5C-976F-8EAC2B608ADB}">
              <a16:predDERef xmlns:a16="http://schemas.microsoft.com/office/drawing/2014/main" pred="{47A3701B-376F-4E51-964C-F9946C91F461}"/>
            </a:ext>
          </a:extLst>
        </xdr:cNvPr>
        <xdr:cNvSpPr txBox="1"/>
      </xdr:nvSpPr>
      <xdr:spPr>
        <a:xfrm>
          <a:off x="4333875" y="352425"/>
          <a:ext cx="8143875" cy="42862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Cashflow Statement</a:t>
          </a:r>
        </a:p>
      </xdr:txBody>
    </xdr:sp>
    <xdr:clientData/>
  </xdr:twoCellAnchor>
  <xdr:twoCellAnchor editAs="oneCell">
    <xdr:from>
      <xdr:col>0</xdr:col>
      <xdr:colOff>0</xdr:colOff>
      <xdr:row>0</xdr:row>
      <xdr:rowOff>0</xdr:rowOff>
    </xdr:from>
    <xdr:to>
      <xdr:col>0</xdr:col>
      <xdr:colOff>923925</xdr:colOff>
      <xdr:row>4</xdr:row>
      <xdr:rowOff>57150</xdr:rowOff>
    </xdr:to>
    <xdr:pic>
      <xdr:nvPicPr>
        <xdr:cNvPr id="5" name="Picture 4">
          <a:extLst>
            <a:ext uri="{FF2B5EF4-FFF2-40B4-BE49-F238E27FC236}">
              <a16:creationId xmlns:a16="http://schemas.microsoft.com/office/drawing/2014/main" id="{A40BCBE6-FE84-B71A-848F-07E96D76768C}"/>
            </a:ext>
            <a:ext uri="{147F2762-F138-4A5C-976F-8EAC2B608ADB}">
              <a16:predDERef xmlns:a16="http://schemas.microsoft.com/office/drawing/2014/main" pred="{D1F2D706-FA68-43BD-947D-0B8825094CBD}"/>
            </a:ext>
          </a:extLst>
        </xdr:cNvPr>
        <xdr:cNvPicPr>
          <a:picLocks noChangeAspect="1"/>
        </xdr:cNvPicPr>
      </xdr:nvPicPr>
      <xdr:blipFill>
        <a:blip xmlns:r="http://schemas.openxmlformats.org/officeDocument/2006/relationships" r:embed="rId1"/>
        <a:stretch>
          <a:fillRect/>
        </a:stretch>
      </xdr:blipFill>
      <xdr:spPr>
        <a:xfrm>
          <a:off x="0" y="0"/>
          <a:ext cx="923925" cy="7810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571500</xdr:colOff>
      <xdr:row>1</xdr:row>
      <xdr:rowOff>0</xdr:rowOff>
    </xdr:to>
    <xdr:sp macro="" textlink="">
      <xdr:nvSpPr>
        <xdr:cNvPr id="2" name="Rectangle 1">
          <a:extLst>
            <a:ext uri="{FF2B5EF4-FFF2-40B4-BE49-F238E27FC236}">
              <a16:creationId xmlns:a16="http://schemas.microsoft.com/office/drawing/2014/main" id="{92D4EE5D-9ADB-40FB-A1BD-D93D95A32576}"/>
            </a:ext>
          </a:extLst>
        </xdr:cNvPr>
        <xdr:cNvSpPr/>
      </xdr:nvSpPr>
      <xdr:spPr>
        <a:xfrm>
          <a:off x="0" y="0"/>
          <a:ext cx="10658475" cy="6762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0</xdr:col>
      <xdr:colOff>2295525</xdr:colOff>
      <xdr:row>0</xdr:row>
      <xdr:rowOff>152400</xdr:rowOff>
    </xdr:from>
    <xdr:to>
      <xdr:col>11</xdr:col>
      <xdr:colOff>85725</xdr:colOff>
      <xdr:row>1</xdr:row>
      <xdr:rowOff>0</xdr:rowOff>
    </xdr:to>
    <xdr:sp macro="" textlink="">
      <xdr:nvSpPr>
        <xdr:cNvPr id="9" name="TextBox 2">
          <a:extLst>
            <a:ext uri="{FF2B5EF4-FFF2-40B4-BE49-F238E27FC236}">
              <a16:creationId xmlns:a16="http://schemas.microsoft.com/office/drawing/2014/main" id="{17AA17C1-55A0-456B-AA82-0796537CE420}"/>
            </a:ext>
            <a:ext uri="{147F2762-F138-4A5C-976F-8EAC2B608ADB}">
              <a16:predDERef xmlns:a16="http://schemas.microsoft.com/office/drawing/2014/main" pred="{92D4EE5D-9ADB-40FB-A1BD-D93D95A32576}"/>
            </a:ext>
          </a:extLst>
        </xdr:cNvPr>
        <xdr:cNvSpPr txBox="1"/>
      </xdr:nvSpPr>
      <xdr:spPr>
        <a:xfrm>
          <a:off x="2295525" y="152400"/>
          <a:ext cx="6657975" cy="571500"/>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Break-Even Calculator</a:t>
          </a:r>
        </a:p>
      </xdr:txBody>
    </xdr:sp>
    <xdr:clientData/>
  </xdr:twoCellAnchor>
  <xdr:twoCellAnchor editAs="oneCell">
    <xdr:from>
      <xdr:col>0</xdr:col>
      <xdr:colOff>0</xdr:colOff>
      <xdr:row>0</xdr:row>
      <xdr:rowOff>0</xdr:rowOff>
    </xdr:from>
    <xdr:to>
      <xdr:col>0</xdr:col>
      <xdr:colOff>771525</xdr:colOff>
      <xdr:row>0</xdr:row>
      <xdr:rowOff>657225</xdr:rowOff>
    </xdr:to>
    <xdr:pic>
      <xdr:nvPicPr>
        <xdr:cNvPr id="14" name="Picture 4">
          <a:extLst>
            <a:ext uri="{FF2B5EF4-FFF2-40B4-BE49-F238E27FC236}">
              <a16:creationId xmlns:a16="http://schemas.microsoft.com/office/drawing/2014/main" id="{D8AFD160-12D2-834E-4345-11331CAC2D4F}"/>
            </a:ext>
            <a:ext uri="{147F2762-F138-4A5C-976F-8EAC2B608ADB}">
              <a16:predDERef xmlns:a16="http://schemas.microsoft.com/office/drawing/2014/main" pred="{17AA17C1-55A0-456B-AA82-0796537CE420}"/>
            </a:ext>
          </a:extLst>
        </xdr:cNvPr>
        <xdr:cNvPicPr>
          <a:picLocks noChangeAspect="1"/>
        </xdr:cNvPicPr>
      </xdr:nvPicPr>
      <xdr:blipFill>
        <a:blip xmlns:r="http://schemas.openxmlformats.org/officeDocument/2006/relationships" r:embed="rId1"/>
        <a:stretch>
          <a:fillRect/>
        </a:stretch>
      </xdr:blipFill>
      <xdr:spPr>
        <a:xfrm>
          <a:off x="0" y="0"/>
          <a:ext cx="771525" cy="6572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76200</xdr:colOff>
      <xdr:row>0</xdr:row>
      <xdr:rowOff>0</xdr:rowOff>
    </xdr:from>
    <xdr:to>
      <xdr:col>1</xdr:col>
      <xdr:colOff>1224803</xdr:colOff>
      <xdr:row>0</xdr:row>
      <xdr:rowOff>806824</xdr:rowOff>
    </xdr:to>
    <xdr:pic>
      <xdr:nvPicPr>
        <xdr:cNvPr id="2" name="Picture 1">
          <a:extLst>
            <a:ext uri="{FF2B5EF4-FFF2-40B4-BE49-F238E27FC236}">
              <a16:creationId xmlns:a16="http://schemas.microsoft.com/office/drawing/2014/main" id="{DFCAEB57-6A10-4226-9794-D4399BAF075B}"/>
            </a:ext>
            <a:ext uri="{147F2762-F138-4A5C-976F-8EAC2B608ADB}">
              <a16:predDERef xmlns:a16="http://schemas.microsoft.com/office/drawing/2014/main" pred="{DD283FC1-117F-4FE0-B36A-C697EB2358DB}"/>
            </a:ext>
          </a:extLst>
        </xdr:cNvPr>
        <xdr:cNvPicPr>
          <a:picLocks noChangeAspect="1"/>
        </xdr:cNvPicPr>
      </xdr:nvPicPr>
      <xdr:blipFill>
        <a:blip xmlns:r="http://schemas.openxmlformats.org/officeDocument/2006/relationships" r:embed="rId1"/>
        <a:stretch>
          <a:fillRect/>
        </a:stretch>
      </xdr:blipFill>
      <xdr:spPr>
        <a:xfrm>
          <a:off x="219075" y="0"/>
          <a:ext cx="1148603" cy="806824"/>
        </a:xfrm>
        <a:prstGeom prst="rect">
          <a:avLst/>
        </a:prstGeom>
      </xdr:spPr>
    </xdr:pic>
    <xdr:clientData/>
  </xdr:twoCellAnchor>
  <xdr:twoCellAnchor>
    <xdr:from>
      <xdr:col>2</xdr:col>
      <xdr:colOff>0</xdr:colOff>
      <xdr:row>0</xdr:row>
      <xdr:rowOff>0</xdr:rowOff>
    </xdr:from>
    <xdr:to>
      <xdr:col>8</xdr:col>
      <xdr:colOff>561975</xdr:colOff>
      <xdr:row>0</xdr:row>
      <xdr:rowOff>771525</xdr:rowOff>
    </xdr:to>
    <xdr:sp macro="" textlink="">
      <xdr:nvSpPr>
        <xdr:cNvPr id="3" name="TextBox 2">
          <a:extLst>
            <a:ext uri="{FF2B5EF4-FFF2-40B4-BE49-F238E27FC236}">
              <a16:creationId xmlns:a16="http://schemas.microsoft.com/office/drawing/2014/main" id="{FCC3237D-8610-4E05-949B-B77198782739}"/>
            </a:ext>
            <a:ext uri="{147F2762-F138-4A5C-976F-8EAC2B608ADB}">
              <a16:predDERef xmlns:a16="http://schemas.microsoft.com/office/drawing/2014/main" pred="{DFCAEB57-6A10-4226-9794-D4399BAF075B}"/>
            </a:ext>
          </a:extLst>
        </xdr:cNvPr>
        <xdr:cNvSpPr txBox="1"/>
      </xdr:nvSpPr>
      <xdr:spPr>
        <a:xfrm>
          <a:off x="2295525" y="0"/>
          <a:ext cx="5591175" cy="77152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a:t>
          </a:r>
          <a:r>
            <a:rPr lang="en-US" sz="2400" b="0" i="0" u="none" strike="noStrike">
              <a:solidFill>
                <a:schemeClr val="bg1"/>
              </a:solidFill>
              <a:latin typeface="Arial" panose="020B0604020202020204" pitchFamily="34" charset="0"/>
              <a:cs typeface="Arial" panose="020B0604020202020204" pitchFamily="34" charset="0"/>
            </a:rPr>
            <a:t>:</a:t>
          </a:r>
        </a:p>
        <a:p>
          <a:pPr marL="0" indent="0" algn="l"/>
          <a:r>
            <a:rPr lang="en-US" sz="2400" b="0" i="0">
              <a:solidFill>
                <a:schemeClr val="bg1"/>
              </a:solidFill>
              <a:latin typeface="Arial" panose="020B0604020202020204" pitchFamily="34" charset="0"/>
              <a:cs typeface="Arial" panose="020B0604020202020204" pitchFamily="34" charset="0"/>
            </a:rPr>
            <a:t> </a:t>
          </a:r>
          <a:r>
            <a:rPr lang="en-US" sz="2400" b="0" i="0" u="none" strike="noStrike">
              <a:solidFill>
                <a:schemeClr val="bg1"/>
              </a:solidFill>
              <a:latin typeface="Arial" panose="020B0604020202020204" pitchFamily="34" charset="0"/>
              <a:cs typeface="Arial" panose="020B0604020202020204" pitchFamily="34" charset="0"/>
            </a:rPr>
            <a:t>Break-Even Scenario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561975</xdr:colOff>
      <xdr:row>0</xdr:row>
      <xdr:rowOff>704850</xdr:rowOff>
    </xdr:to>
    <xdr:sp macro="" textlink="">
      <xdr:nvSpPr>
        <xdr:cNvPr id="2" name="Rectangle 1">
          <a:extLst>
            <a:ext uri="{FF2B5EF4-FFF2-40B4-BE49-F238E27FC236}">
              <a16:creationId xmlns:a16="http://schemas.microsoft.com/office/drawing/2014/main" id="{5DB9DEF4-B77F-4A85-9D45-8A7D8AD50756}"/>
            </a:ext>
          </a:extLst>
        </xdr:cNvPr>
        <xdr:cNvSpPr/>
      </xdr:nvSpPr>
      <xdr:spPr>
        <a:xfrm>
          <a:off x="0" y="0"/>
          <a:ext cx="10868025" cy="70485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a:p>
      </xdr:txBody>
    </xdr:sp>
    <xdr:clientData/>
  </xdr:twoCellAnchor>
  <xdr:twoCellAnchor>
    <xdr:from>
      <xdr:col>0</xdr:col>
      <xdr:colOff>3209925</xdr:colOff>
      <xdr:row>0</xdr:row>
      <xdr:rowOff>247650</xdr:rowOff>
    </xdr:from>
    <xdr:to>
      <xdr:col>1</xdr:col>
      <xdr:colOff>171450</xdr:colOff>
      <xdr:row>1</xdr:row>
      <xdr:rowOff>95250</xdr:rowOff>
    </xdr:to>
    <xdr:sp macro="" textlink="">
      <xdr:nvSpPr>
        <xdr:cNvPr id="3" name="TextBox 2">
          <a:extLst>
            <a:ext uri="{FF2B5EF4-FFF2-40B4-BE49-F238E27FC236}">
              <a16:creationId xmlns:a16="http://schemas.microsoft.com/office/drawing/2014/main" id="{26FF9E01-B084-443A-B75C-1881968453A1}"/>
            </a:ext>
            <a:ext uri="{147F2762-F138-4A5C-976F-8EAC2B608ADB}">
              <a16:predDERef xmlns:a16="http://schemas.microsoft.com/office/drawing/2014/main" pred="{5DB9DEF4-B77F-4A85-9D45-8A7D8AD50756}"/>
            </a:ext>
          </a:extLst>
        </xdr:cNvPr>
        <xdr:cNvSpPr txBox="1"/>
      </xdr:nvSpPr>
      <xdr:spPr>
        <a:xfrm>
          <a:off x="3209925" y="247650"/>
          <a:ext cx="6657975" cy="571500"/>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Notes</a:t>
          </a:r>
        </a:p>
      </xdr:txBody>
    </xdr:sp>
    <xdr:clientData/>
  </xdr:twoCellAnchor>
  <xdr:twoCellAnchor editAs="oneCell">
    <xdr:from>
      <xdr:col>0</xdr:col>
      <xdr:colOff>0</xdr:colOff>
      <xdr:row>0</xdr:row>
      <xdr:rowOff>0</xdr:rowOff>
    </xdr:from>
    <xdr:to>
      <xdr:col>0</xdr:col>
      <xdr:colOff>838200</xdr:colOff>
      <xdr:row>0</xdr:row>
      <xdr:rowOff>704850</xdr:rowOff>
    </xdr:to>
    <xdr:pic>
      <xdr:nvPicPr>
        <xdr:cNvPr id="4" name="Picture 3">
          <a:extLst>
            <a:ext uri="{FF2B5EF4-FFF2-40B4-BE49-F238E27FC236}">
              <a16:creationId xmlns:a16="http://schemas.microsoft.com/office/drawing/2014/main" id="{391BF7FD-0EA6-3C8C-C10E-4D9B21442457}"/>
            </a:ext>
            <a:ext uri="{147F2762-F138-4A5C-976F-8EAC2B608ADB}">
              <a16:predDERef xmlns:a16="http://schemas.microsoft.com/office/drawing/2014/main" pred="{26FF9E01-B084-443A-B75C-1881968453A1}"/>
            </a:ext>
          </a:extLst>
        </xdr:cNvPr>
        <xdr:cNvPicPr>
          <a:picLocks noChangeAspect="1"/>
        </xdr:cNvPicPr>
      </xdr:nvPicPr>
      <xdr:blipFill>
        <a:blip xmlns:r="http://schemas.openxmlformats.org/officeDocument/2006/relationships" r:embed="rId1"/>
        <a:stretch>
          <a:fillRect/>
        </a:stretch>
      </xdr:blipFill>
      <xdr:spPr>
        <a:xfrm>
          <a:off x="0" y="0"/>
          <a:ext cx="83820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28575</xdr:colOff>
      <xdr:row>11</xdr:row>
      <xdr:rowOff>42863</xdr:rowOff>
    </xdr:from>
    <xdr:to>
      <xdr:col>17</xdr:col>
      <xdr:colOff>219075</xdr:colOff>
      <xdr:row>14</xdr:row>
      <xdr:rowOff>95250</xdr:rowOff>
    </xdr:to>
    <xdr:cxnSp macro="">
      <xdr:nvCxnSpPr>
        <xdr:cNvPr id="4" name="Straight Arrow Connector 3">
          <a:extLst>
            <a:ext uri="{FF2B5EF4-FFF2-40B4-BE49-F238E27FC236}">
              <a16:creationId xmlns:a16="http://schemas.microsoft.com/office/drawing/2014/main" id="{BDA6D1EE-7145-4D3F-A25C-EF4367F14014}"/>
            </a:ext>
            <a:ext uri="{147F2762-F138-4A5C-976F-8EAC2B608ADB}">
              <a16:predDERef xmlns:a16="http://schemas.microsoft.com/office/drawing/2014/main" pred="{5AC67E43-51B4-4431-A96A-3A5105252708}"/>
            </a:ext>
          </a:extLst>
        </xdr:cNvPr>
        <xdr:cNvCxnSpPr>
          <a:cxnSpLocks/>
          <a:extLst>
            <a:ext uri="{5F17804C-33F3-41E3-A699-7DCFA2EF7971}">
              <a16:cxnDERefs xmlns:a16="http://schemas.microsoft.com/office/drawing/2014/main" st="{0E9C4EDE-4190-467C-9827-4D0E937F4287}" end="{00000000-0000-0000-0000-000000000000}"/>
            </a:ext>
          </a:extLst>
        </xdr:cNvCxnSpPr>
      </xdr:nvCxnSpPr>
      <xdr:spPr>
        <a:xfrm flipH="1">
          <a:off x="3562350" y="2500313"/>
          <a:ext cx="800100" cy="59531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54429</xdr:colOff>
      <xdr:row>43</xdr:row>
      <xdr:rowOff>136072</xdr:rowOff>
    </xdr:from>
    <xdr:to>
      <xdr:col>17</xdr:col>
      <xdr:colOff>244929</xdr:colOff>
      <xdr:row>45</xdr:row>
      <xdr:rowOff>95250</xdr:rowOff>
    </xdr:to>
    <xdr:cxnSp macro="">
      <xdr:nvCxnSpPr>
        <xdr:cNvPr id="6" name="Straight Arrow Connector 5">
          <a:extLst>
            <a:ext uri="{FF2B5EF4-FFF2-40B4-BE49-F238E27FC236}">
              <a16:creationId xmlns:a16="http://schemas.microsoft.com/office/drawing/2014/main" id="{4FE4CAE7-62D9-4C9C-946E-41D5396D5C1F}"/>
            </a:ext>
            <a:ext uri="{147F2762-F138-4A5C-976F-8EAC2B608ADB}">
              <a16:predDERef xmlns:a16="http://schemas.microsoft.com/office/drawing/2014/main" pred="{3F5821A0-D44F-4560-A54B-DBF6168AAEE8}"/>
            </a:ext>
          </a:extLst>
        </xdr:cNvPr>
        <xdr:cNvCxnSpPr/>
      </xdr:nvCxnSpPr>
      <xdr:spPr>
        <a:xfrm flipH="1">
          <a:off x="14103804" y="8756197"/>
          <a:ext cx="800100"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38100</xdr:colOff>
      <xdr:row>46</xdr:row>
      <xdr:rowOff>114300</xdr:rowOff>
    </xdr:from>
    <xdr:to>
      <xdr:col>16</xdr:col>
      <xdr:colOff>600075</xdr:colOff>
      <xdr:row>50</xdr:row>
      <xdr:rowOff>23813</xdr:rowOff>
    </xdr:to>
    <xdr:cxnSp macro="">
      <xdr:nvCxnSpPr>
        <xdr:cNvPr id="8" name="Straight Arrow Connector 7">
          <a:extLst>
            <a:ext uri="{FF2B5EF4-FFF2-40B4-BE49-F238E27FC236}">
              <a16:creationId xmlns:a16="http://schemas.microsoft.com/office/drawing/2014/main" id="{F90B9917-06BA-4F73-BDBD-298224D15BD9}"/>
            </a:ext>
            <a:ext uri="{147F2762-F138-4A5C-976F-8EAC2B608ADB}">
              <a16:predDERef xmlns:a16="http://schemas.microsoft.com/office/drawing/2014/main" pred="{4FE4CAE7-62D9-4C9C-946E-41D5396D5C1F}"/>
            </a:ext>
          </a:extLst>
        </xdr:cNvPr>
        <xdr:cNvCxnSpPr>
          <a:cxnSpLocks/>
          <a:stCxn id="18" idx="1"/>
          <a:extLst>
            <a:ext uri="{5F17804C-33F3-41E3-A699-7DCFA2EF7971}">
              <a16:cxnDERefs xmlns:a16="http://schemas.microsoft.com/office/drawing/2014/main" st="{4E53CCEC-E7C8-48FA-9A01-73E307BAB921}" end="{00000000-0000-0000-0000-000000000000}"/>
            </a:ext>
          </a:extLst>
        </xdr:cNvCxnSpPr>
      </xdr:nvCxnSpPr>
      <xdr:spPr>
        <a:xfrm flipH="1" flipV="1">
          <a:off x="3571875" y="8905875"/>
          <a:ext cx="561975" cy="48101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19050</xdr:colOff>
      <xdr:row>0</xdr:row>
      <xdr:rowOff>9525</xdr:rowOff>
    </xdr:from>
    <xdr:to>
      <xdr:col>28</xdr:col>
      <xdr:colOff>600075</xdr:colOff>
      <xdr:row>1</xdr:row>
      <xdr:rowOff>9525</xdr:rowOff>
    </xdr:to>
    <xdr:sp macro="" textlink="">
      <xdr:nvSpPr>
        <xdr:cNvPr id="9" name="Rectangle 8">
          <a:extLst>
            <a:ext uri="{FF2B5EF4-FFF2-40B4-BE49-F238E27FC236}">
              <a16:creationId xmlns:a16="http://schemas.microsoft.com/office/drawing/2014/main" id="{0C88CB47-65B5-4E06-BB59-B379390DFB95}"/>
            </a:ext>
            <a:ext uri="{147F2762-F138-4A5C-976F-8EAC2B608ADB}">
              <a16:predDERef xmlns:a16="http://schemas.microsoft.com/office/drawing/2014/main" pred="{F90B9917-06BA-4F73-BDBD-298224D15BD9}"/>
            </a:ext>
          </a:extLst>
        </xdr:cNvPr>
        <xdr:cNvSpPr/>
      </xdr:nvSpPr>
      <xdr:spPr>
        <a:xfrm>
          <a:off x="19050" y="9525"/>
          <a:ext cx="11430000" cy="83820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b="0" i="0" u="none" strike="noStrike">
            <a:solidFill>
              <a:schemeClr val="lt1"/>
            </a:solidFill>
            <a:latin typeface="Aptos Narrow" panose="020B0004020202020204" pitchFamily="34" charset="0"/>
          </a:endParaRPr>
        </a:p>
      </xdr:txBody>
    </xdr:sp>
    <xdr:clientData/>
  </xdr:twoCellAnchor>
  <xdr:twoCellAnchor>
    <xdr:from>
      <xdr:col>3</xdr:col>
      <xdr:colOff>57150</xdr:colOff>
      <xdr:row>0</xdr:row>
      <xdr:rowOff>133350</xdr:rowOff>
    </xdr:from>
    <xdr:to>
      <xdr:col>10</xdr:col>
      <xdr:colOff>266700</xdr:colOff>
      <xdr:row>0</xdr:row>
      <xdr:rowOff>733425</xdr:rowOff>
    </xdr:to>
    <xdr:sp macro="" textlink="">
      <xdr:nvSpPr>
        <xdr:cNvPr id="10" name="TextBox 9">
          <a:extLst>
            <a:ext uri="{FF2B5EF4-FFF2-40B4-BE49-F238E27FC236}">
              <a16:creationId xmlns:a16="http://schemas.microsoft.com/office/drawing/2014/main" id="{31DDCB98-2763-4665-9281-3F62E89F9BF9}"/>
            </a:ext>
            <a:ext uri="{147F2762-F138-4A5C-976F-8EAC2B608ADB}">
              <a16:predDERef xmlns:a16="http://schemas.microsoft.com/office/drawing/2014/main" pred="{0C88CB47-65B5-4E06-BB59-B379390DFB95}"/>
            </a:ext>
          </a:extLst>
        </xdr:cNvPr>
        <xdr:cNvSpPr txBox="1"/>
      </xdr:nvSpPr>
      <xdr:spPr>
        <a:xfrm>
          <a:off x="3495675" y="133350"/>
          <a:ext cx="6343650" cy="600075"/>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19050</xdr:colOff>
      <xdr:row>0</xdr:row>
      <xdr:rowOff>19050</xdr:rowOff>
    </xdr:from>
    <xdr:to>
      <xdr:col>1</xdr:col>
      <xdr:colOff>238125</xdr:colOff>
      <xdr:row>0</xdr:row>
      <xdr:rowOff>781050</xdr:rowOff>
    </xdr:to>
    <xdr:pic>
      <xdr:nvPicPr>
        <xdr:cNvPr id="11" name="Picture 10">
          <a:extLst>
            <a:ext uri="{FF2B5EF4-FFF2-40B4-BE49-F238E27FC236}">
              <a16:creationId xmlns:a16="http://schemas.microsoft.com/office/drawing/2014/main" id="{623A6139-EF40-4B70-801F-4641159C75ED}"/>
            </a:ext>
            <a:ext uri="{147F2762-F138-4A5C-976F-8EAC2B608ADB}">
              <a16:predDERef xmlns:a16="http://schemas.microsoft.com/office/drawing/2014/main" pred="{31DDCB98-2763-4665-9281-3F62E89F9BF9}"/>
            </a:ext>
          </a:extLst>
        </xdr:cNvPr>
        <xdr:cNvPicPr>
          <a:picLocks noChangeAspect="1"/>
        </xdr:cNvPicPr>
      </xdr:nvPicPr>
      <xdr:blipFill>
        <a:blip xmlns:r="http://schemas.openxmlformats.org/officeDocument/2006/relationships" r:embed="rId1"/>
        <a:stretch>
          <a:fillRect/>
        </a:stretch>
      </xdr:blipFill>
      <xdr:spPr>
        <a:xfrm>
          <a:off x="19050" y="19050"/>
          <a:ext cx="895350" cy="762000"/>
        </a:xfrm>
        <a:prstGeom prst="rect">
          <a:avLst/>
        </a:prstGeom>
      </xdr:spPr>
    </xdr:pic>
    <xdr:clientData/>
  </xdr:twoCellAnchor>
  <xdr:twoCellAnchor>
    <xdr:from>
      <xdr:col>16</xdr:col>
      <xdr:colOff>47625</xdr:colOff>
      <xdr:row>15</xdr:row>
      <xdr:rowOff>104775</xdr:rowOff>
    </xdr:from>
    <xdr:to>
      <xdr:col>17</xdr:col>
      <xdr:colOff>266700</xdr:colOff>
      <xdr:row>17</xdr:row>
      <xdr:rowOff>0</xdr:rowOff>
    </xdr:to>
    <xdr:cxnSp macro="">
      <xdr:nvCxnSpPr>
        <xdr:cNvPr id="12" name="Straight Arrow Connector 3">
          <a:extLst>
            <a:ext uri="{FF2B5EF4-FFF2-40B4-BE49-F238E27FC236}">
              <a16:creationId xmlns:a16="http://schemas.microsoft.com/office/drawing/2014/main" id="{0F3C88A7-3C66-4269-BA80-8A487A9AC0DE}"/>
            </a:ext>
            <a:ext uri="{147F2762-F138-4A5C-976F-8EAC2B608ADB}">
              <a16:predDERef xmlns:a16="http://schemas.microsoft.com/office/drawing/2014/main" pred="{623A6139-EF40-4B70-801F-4641159C75ED}"/>
            </a:ext>
          </a:extLst>
        </xdr:cNvPr>
        <xdr:cNvCxnSpPr>
          <a:cxnSpLocks/>
        </xdr:cNvCxnSpPr>
      </xdr:nvCxnSpPr>
      <xdr:spPr>
        <a:xfrm flipH="1" flipV="1">
          <a:off x="14097000" y="3390900"/>
          <a:ext cx="828675" cy="2762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0</xdr:colOff>
      <xdr:row>0</xdr:row>
      <xdr:rowOff>342900</xdr:rowOff>
    </xdr:from>
    <xdr:to>
      <xdr:col>25</xdr:col>
      <xdr:colOff>352425</xdr:colOff>
      <xdr:row>0</xdr:row>
      <xdr:rowOff>800100</xdr:rowOff>
    </xdr:to>
    <xdr:sp macro="" textlink="">
      <xdr:nvSpPr>
        <xdr:cNvPr id="13" name="TextBox 12">
          <a:extLst>
            <a:ext uri="{FF2B5EF4-FFF2-40B4-BE49-F238E27FC236}">
              <a16:creationId xmlns:a16="http://schemas.microsoft.com/office/drawing/2014/main" id="{753F3804-63A9-4706-9A72-87B1B3985FCC}"/>
            </a:ext>
            <a:ext uri="{147F2762-F138-4A5C-976F-8EAC2B608ADB}">
              <a16:predDERef xmlns:a16="http://schemas.microsoft.com/office/drawing/2014/main" pred="{0F3C88A7-3C66-4269-BA80-8A487A9AC0DE}"/>
            </a:ext>
          </a:extLst>
        </xdr:cNvPr>
        <xdr:cNvSpPr txBox="1"/>
      </xdr:nvSpPr>
      <xdr:spPr>
        <a:xfrm>
          <a:off x="2562225" y="342900"/>
          <a:ext cx="6810375" cy="457200"/>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Annual</a:t>
          </a:r>
          <a:r>
            <a:rPr lang="en-US" sz="2400" b="0" i="0">
              <a:solidFill>
                <a:schemeClr val="bg1"/>
              </a:solidFill>
              <a:latin typeface="Arial" panose="020B0604020202020204" pitchFamily="34" charset="0"/>
              <a:cs typeface="Arial" panose="020B0604020202020204" pitchFamily="34" charset="0"/>
            </a:rPr>
            <a:t>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xdr:from>
      <xdr:col>17</xdr:col>
      <xdr:colOff>9525</xdr:colOff>
      <xdr:row>41</xdr:row>
      <xdr:rowOff>85725</xdr:rowOff>
    </xdr:from>
    <xdr:to>
      <xdr:col>22</xdr:col>
      <xdr:colOff>390525</xdr:colOff>
      <xdr:row>45</xdr:row>
      <xdr:rowOff>161925</xdr:rowOff>
    </xdr:to>
    <xdr:sp macro="" textlink="">
      <xdr:nvSpPr>
        <xdr:cNvPr id="17" name="TextBox 16">
          <a:extLst>
            <a:ext uri="{FF2B5EF4-FFF2-40B4-BE49-F238E27FC236}">
              <a16:creationId xmlns:a16="http://schemas.microsoft.com/office/drawing/2014/main" id="{543D08BC-E462-4844-AD0F-F16C0ED86E66}"/>
            </a:ext>
            <a:ext uri="{147F2762-F138-4A5C-976F-8EAC2B608ADB}">
              <a16:predDERef xmlns:a16="http://schemas.microsoft.com/office/drawing/2014/main" pred="{5AC67E43-51B4-4431-A96A-3A5105252708}"/>
            </a:ext>
          </a:extLst>
        </xdr:cNvPr>
        <xdr:cNvSpPr txBox="1"/>
      </xdr:nvSpPr>
      <xdr:spPr>
        <a:xfrm>
          <a:off x="4152900" y="7972425"/>
          <a:ext cx="34290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a:t>
          </a:r>
          <a:r>
            <a:rPr lang="en-US" sz="2400">
              <a:solidFill>
                <a:schemeClr val="dk1"/>
              </a:solidFill>
              <a:latin typeface="Arial" panose="020B0604020202020204" pitchFamily="34" charset="0"/>
              <a:cs typeface="Arial" panose="020B0604020202020204" pitchFamily="34" charset="0"/>
            </a:rPr>
            <a:t>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Gross Profit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16</xdr:col>
      <xdr:colOff>600075</xdr:colOff>
      <xdr:row>48</xdr:row>
      <xdr:rowOff>9525</xdr:rowOff>
    </xdr:from>
    <xdr:to>
      <xdr:col>26</xdr:col>
      <xdr:colOff>123825</xdr:colOff>
      <xdr:row>52</xdr:row>
      <xdr:rowOff>47625</xdr:rowOff>
    </xdr:to>
    <xdr:sp macro="" textlink="">
      <xdr:nvSpPr>
        <xdr:cNvPr id="18" name="TextBox 17">
          <a:extLst>
            <a:ext uri="{FF2B5EF4-FFF2-40B4-BE49-F238E27FC236}">
              <a16:creationId xmlns:a16="http://schemas.microsoft.com/office/drawing/2014/main" id="{4E53CCEC-E7C8-48FA-9A01-73E307BAB921}"/>
            </a:ext>
            <a:ext uri="{147F2762-F138-4A5C-976F-8EAC2B608ADB}">
              <a16:predDERef xmlns:a16="http://schemas.microsoft.com/office/drawing/2014/main" pred="{543D08BC-E462-4844-AD0F-F16C0ED86E66}"/>
            </a:ext>
          </a:extLst>
        </xdr:cNvPr>
        <xdr:cNvSpPr txBox="1"/>
      </xdr:nvSpPr>
      <xdr:spPr>
        <a:xfrm>
          <a:off x="4133850" y="8982075"/>
          <a:ext cx="561975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a:t>
          </a:r>
          <a:r>
            <a:rPr lang="en-US" sz="2400">
              <a:solidFill>
                <a:schemeClr val="dk1"/>
              </a:solidFill>
              <a:latin typeface="Arial" panose="020B0604020202020204" pitchFamily="34" charset="0"/>
              <a:cs typeface="Arial" panose="020B0604020202020204" pitchFamily="34" charset="0"/>
            </a:rPr>
            <a:t> </a:t>
          </a:r>
          <a:r>
            <a:rPr lang="en-US" sz="2400" b="0" i="0" u="none" strike="noStrike">
              <a:solidFill>
                <a:schemeClr val="dk1"/>
              </a:solidFill>
              <a:latin typeface="Arial" panose="020B0604020202020204" pitchFamily="34" charset="0"/>
              <a:cs typeface="Arial" panose="020B0604020202020204" pitchFamily="34" charset="0"/>
            </a:rPr>
            <a:t>Profit Margin Percentage</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 Profit / Total Sales) * 100</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9525</xdr:colOff>
      <xdr:row>14</xdr:row>
      <xdr:rowOff>76200</xdr:rowOff>
    </xdr:from>
    <xdr:to>
      <xdr:col>23</xdr:col>
      <xdr:colOff>314325</xdr:colOff>
      <xdr:row>18</xdr:row>
      <xdr:rowOff>171450</xdr:rowOff>
    </xdr:to>
    <xdr:sp macro="" textlink="">
      <xdr:nvSpPr>
        <xdr:cNvPr id="19" name="TextBox 18">
          <a:extLst>
            <a:ext uri="{FF2B5EF4-FFF2-40B4-BE49-F238E27FC236}">
              <a16:creationId xmlns:a16="http://schemas.microsoft.com/office/drawing/2014/main" id="{A25533F2-5CE6-4BF7-8E60-4DE1E225C477}"/>
            </a:ext>
            <a:ext uri="{147F2762-F138-4A5C-976F-8EAC2B608ADB}">
              <a16:predDERef xmlns:a16="http://schemas.microsoft.com/office/drawing/2014/main" pred="{4E53CCEC-E7C8-48FA-9A01-73E307BAB921}"/>
            </a:ext>
          </a:extLst>
        </xdr:cNvPr>
        <xdr:cNvSpPr txBox="1"/>
      </xdr:nvSpPr>
      <xdr:spPr>
        <a:xfrm>
          <a:off x="4152900" y="3076575"/>
          <a:ext cx="3962400"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Margin</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Gross Profit / Total Revenue</a:t>
          </a:r>
          <a:r>
            <a:rPr lang="en-US" sz="1800">
              <a:solidFill>
                <a:schemeClr val="dk1"/>
              </a:solidFill>
              <a:latin typeface="Arial" panose="020B0604020202020204" pitchFamily="34" charset="0"/>
              <a:cs typeface="Arial" panose="020B0604020202020204" pitchFamily="34" charset="0"/>
            </a:rPr>
            <a:t>)</a:t>
          </a:r>
          <a:r>
            <a:rPr lang="en-US" sz="1800" b="0" i="0" u="none" strike="noStrike">
              <a:solidFill>
                <a:schemeClr val="dk1"/>
              </a:solidFill>
              <a:latin typeface="Arial" panose="020B0604020202020204" pitchFamily="34" charset="0"/>
              <a:cs typeface="Arial" panose="020B0604020202020204" pitchFamily="34" charset="0"/>
            </a:rPr>
            <a:t> * 100</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0</xdr:colOff>
      <xdr:row>8</xdr:row>
      <xdr:rowOff>47625</xdr:rowOff>
    </xdr:from>
    <xdr:to>
      <xdr:col>24</xdr:col>
      <xdr:colOff>85725</xdr:colOff>
      <xdr:row>13</xdr:row>
      <xdr:rowOff>66675</xdr:rowOff>
    </xdr:to>
    <xdr:sp macro="" textlink="">
      <xdr:nvSpPr>
        <xdr:cNvPr id="20" name="TextBox 19">
          <a:extLst>
            <a:ext uri="{FF2B5EF4-FFF2-40B4-BE49-F238E27FC236}">
              <a16:creationId xmlns:a16="http://schemas.microsoft.com/office/drawing/2014/main" id="{B9B79215-08A4-4B57-8B36-28120ECEBCBC}"/>
            </a:ext>
            <a:ext uri="{147F2762-F138-4A5C-976F-8EAC2B608ADB}">
              <a16:predDERef xmlns:a16="http://schemas.microsoft.com/office/drawing/2014/main" pred="{A25533F2-5CE6-4BF7-8E60-4DE1E225C477}"/>
            </a:ext>
          </a:extLst>
        </xdr:cNvPr>
        <xdr:cNvSpPr txBox="1"/>
      </xdr:nvSpPr>
      <xdr:spPr>
        <a:xfrm>
          <a:off x="4143375" y="1962150"/>
          <a:ext cx="4352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14</xdr:row>
      <xdr:rowOff>180975</xdr:rowOff>
    </xdr:from>
    <xdr:to>
      <xdr:col>18</xdr:col>
      <xdr:colOff>238125</xdr:colOff>
      <xdr:row>18</xdr:row>
      <xdr:rowOff>123825</xdr:rowOff>
    </xdr:to>
    <xdr:cxnSp macro="">
      <xdr:nvCxnSpPr>
        <xdr:cNvPr id="2" name="Straight Arrow Connector 3">
          <a:extLst>
            <a:ext uri="{FF2B5EF4-FFF2-40B4-BE49-F238E27FC236}">
              <a16:creationId xmlns:a16="http://schemas.microsoft.com/office/drawing/2014/main" id="{09E8BD07-4299-47C8-8881-A18885515A7B}"/>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4839950" y="327660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54429</xdr:colOff>
      <xdr:row>75</xdr:row>
      <xdr:rowOff>136072</xdr:rowOff>
    </xdr:from>
    <xdr:to>
      <xdr:col>18</xdr:col>
      <xdr:colOff>244929</xdr:colOff>
      <xdr:row>77</xdr:row>
      <xdr:rowOff>95250</xdr:rowOff>
    </xdr:to>
    <xdr:cxnSp macro="">
      <xdr:nvCxnSpPr>
        <xdr:cNvPr id="3" name="Straight Arrow Connector 5">
          <a:extLst>
            <a:ext uri="{FF2B5EF4-FFF2-40B4-BE49-F238E27FC236}">
              <a16:creationId xmlns:a16="http://schemas.microsoft.com/office/drawing/2014/main" id="{19591E21-E040-4063-9D56-E2F7E11DE664}"/>
            </a:ext>
            <a:ext uri="{147F2762-F138-4A5C-976F-8EAC2B608ADB}">
              <a16:predDERef xmlns:a16="http://schemas.microsoft.com/office/drawing/2014/main" pred="{09E8BD07-4299-47C8-8881-A18885515A7B}"/>
            </a:ext>
          </a:extLst>
        </xdr:cNvPr>
        <xdr:cNvCxnSpPr/>
      </xdr:nvCxnSpPr>
      <xdr:spPr>
        <a:xfrm flipH="1">
          <a:off x="14875329" y="14852197"/>
          <a:ext cx="914400"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40822</xdr:colOff>
      <xdr:row>78</xdr:row>
      <xdr:rowOff>108857</xdr:rowOff>
    </xdr:from>
    <xdr:to>
      <xdr:col>18</xdr:col>
      <xdr:colOff>258536</xdr:colOff>
      <xdr:row>81</xdr:row>
      <xdr:rowOff>95250</xdr:rowOff>
    </xdr:to>
    <xdr:cxnSp macro="">
      <xdr:nvCxnSpPr>
        <xdr:cNvPr id="4" name="Straight Arrow Connector 7">
          <a:extLst>
            <a:ext uri="{FF2B5EF4-FFF2-40B4-BE49-F238E27FC236}">
              <a16:creationId xmlns:a16="http://schemas.microsoft.com/office/drawing/2014/main" id="{C2C7421C-97B4-4B4F-A127-059B2D8DC02A}"/>
            </a:ext>
            <a:ext uri="{147F2762-F138-4A5C-976F-8EAC2B608ADB}">
              <a16:predDERef xmlns:a16="http://schemas.microsoft.com/office/drawing/2014/main" pred="{19591E21-E040-4063-9D56-E2F7E11DE664}"/>
            </a:ext>
          </a:extLst>
        </xdr:cNvPr>
        <xdr:cNvCxnSpPr/>
      </xdr:nvCxnSpPr>
      <xdr:spPr>
        <a:xfrm flipH="1" flipV="1">
          <a:off x="14861722" y="15396482"/>
          <a:ext cx="941614" cy="3673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15</xdr:col>
      <xdr:colOff>1144681</xdr:colOff>
      <xdr:row>0</xdr:row>
      <xdr:rowOff>752475</xdr:rowOff>
    </xdr:to>
    <xdr:sp macro="" textlink="">
      <xdr:nvSpPr>
        <xdr:cNvPr id="5" name="Rectangle 8">
          <a:extLst>
            <a:ext uri="{FF2B5EF4-FFF2-40B4-BE49-F238E27FC236}">
              <a16:creationId xmlns:a16="http://schemas.microsoft.com/office/drawing/2014/main" id="{B17F2069-58DD-43F3-BF09-EEC8985C9651}"/>
            </a:ext>
            <a:ext uri="{147F2762-F138-4A5C-976F-8EAC2B608ADB}">
              <a16:predDERef xmlns:a16="http://schemas.microsoft.com/office/drawing/2014/main" pred="{C2C7421C-97B4-4B4F-A127-059B2D8DC02A}"/>
            </a:ext>
          </a:extLst>
        </xdr:cNvPr>
        <xdr:cNvSpPr/>
      </xdr:nvSpPr>
      <xdr:spPr>
        <a:xfrm>
          <a:off x="0" y="9525"/>
          <a:ext cx="14813056" cy="742950"/>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466725</xdr:colOff>
      <xdr:row>0</xdr:row>
      <xdr:rowOff>314325</xdr:rowOff>
    </xdr:from>
    <xdr:to>
      <xdr:col>11</xdr:col>
      <xdr:colOff>600075</xdr:colOff>
      <xdr:row>1</xdr:row>
      <xdr:rowOff>47625</xdr:rowOff>
    </xdr:to>
    <xdr:sp macro="" textlink="">
      <xdr:nvSpPr>
        <xdr:cNvPr id="6" name="TextBox 9">
          <a:extLst>
            <a:ext uri="{FF2B5EF4-FFF2-40B4-BE49-F238E27FC236}">
              <a16:creationId xmlns:a16="http://schemas.microsoft.com/office/drawing/2014/main" id="{3FE6FC4D-0FAB-4B52-95CE-7407137052C0}"/>
            </a:ext>
            <a:ext uri="{147F2762-F138-4A5C-976F-8EAC2B608ADB}">
              <a16:predDERef xmlns:a16="http://schemas.microsoft.com/office/drawing/2014/main" pred="{B17F2069-58DD-43F3-BF09-EEC8985C9651}"/>
            </a:ext>
          </a:extLst>
        </xdr:cNvPr>
        <xdr:cNvSpPr txBox="1"/>
      </xdr:nvSpPr>
      <xdr:spPr>
        <a:xfrm>
          <a:off x="5095875" y="314325"/>
          <a:ext cx="62674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7" name="Picture 10">
          <a:extLst>
            <a:ext uri="{FF2B5EF4-FFF2-40B4-BE49-F238E27FC236}">
              <a16:creationId xmlns:a16="http://schemas.microsoft.com/office/drawing/2014/main" id="{E0FFBDA3-74DC-498E-8138-1F517DCAF01D}"/>
            </a:ext>
            <a:ext uri="{147F2762-F138-4A5C-976F-8EAC2B608ADB}">
              <a16:predDERef xmlns:a16="http://schemas.microsoft.com/office/drawing/2014/main" pred="{3FE6FC4D-0FAB-4B52-95CE-7407137052C0}"/>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twoCellAnchor>
    <xdr:from>
      <xdr:col>17</xdr:col>
      <xdr:colOff>47625</xdr:colOff>
      <xdr:row>19</xdr:row>
      <xdr:rowOff>104775</xdr:rowOff>
    </xdr:from>
    <xdr:to>
      <xdr:col>18</xdr:col>
      <xdr:colOff>266700</xdr:colOff>
      <xdr:row>22</xdr:row>
      <xdr:rowOff>0</xdr:rowOff>
    </xdr:to>
    <xdr:cxnSp macro="">
      <xdr:nvCxnSpPr>
        <xdr:cNvPr id="8" name="Straight Arrow Connector 3">
          <a:extLst>
            <a:ext uri="{FF2B5EF4-FFF2-40B4-BE49-F238E27FC236}">
              <a16:creationId xmlns:a16="http://schemas.microsoft.com/office/drawing/2014/main" id="{E941B95B-0A02-47EF-BD3C-20DE997D7E8D}"/>
            </a:ext>
            <a:ext uri="{147F2762-F138-4A5C-976F-8EAC2B608ADB}">
              <a16:predDERef xmlns:a16="http://schemas.microsoft.com/office/drawing/2014/main" pred="{E0FFBDA3-74DC-498E-8138-1F517DCAF01D}"/>
            </a:ext>
          </a:extLst>
        </xdr:cNvPr>
        <xdr:cNvCxnSpPr>
          <a:cxnSpLocks/>
        </xdr:cNvCxnSpPr>
      </xdr:nvCxnSpPr>
      <xdr:spPr>
        <a:xfrm flipH="1" flipV="1">
          <a:off x="14868525" y="4152900"/>
          <a:ext cx="942975"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18</xdr:row>
      <xdr:rowOff>161925</xdr:rowOff>
    </xdr:from>
    <xdr:to>
      <xdr:col>23</xdr:col>
      <xdr:colOff>123825</xdr:colOff>
      <xdr:row>24</xdr:row>
      <xdr:rowOff>0</xdr:rowOff>
    </xdr:to>
    <xdr:sp macro="" textlink="">
      <xdr:nvSpPr>
        <xdr:cNvPr id="9" name="TextBox 2">
          <a:extLst>
            <a:ext uri="{FF2B5EF4-FFF2-40B4-BE49-F238E27FC236}">
              <a16:creationId xmlns:a16="http://schemas.microsoft.com/office/drawing/2014/main" id="{3CE6F307-F7FA-4B99-9F4E-58B4BDB2CC1A}"/>
            </a:ext>
            <a:ext uri="{147F2762-F138-4A5C-976F-8EAC2B608ADB}">
              <a16:predDERef xmlns:a16="http://schemas.microsoft.com/office/drawing/2014/main" pred="{E941B95B-0A02-47EF-BD3C-20DE997D7E8D}"/>
            </a:ext>
          </a:extLst>
        </xdr:cNvPr>
        <xdr:cNvSpPr txBox="1"/>
      </xdr:nvSpPr>
      <xdr:spPr>
        <a:xfrm>
          <a:off x="15544800" y="4019550"/>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18</xdr:col>
      <xdr:colOff>0</xdr:colOff>
      <xdr:row>12</xdr:row>
      <xdr:rowOff>142875</xdr:rowOff>
    </xdr:from>
    <xdr:to>
      <xdr:col>23</xdr:col>
      <xdr:colOff>504825</xdr:colOff>
      <xdr:row>17</xdr:row>
      <xdr:rowOff>161925</xdr:rowOff>
    </xdr:to>
    <xdr:sp macro="" textlink="">
      <xdr:nvSpPr>
        <xdr:cNvPr id="10" name="TextBox 12">
          <a:extLst>
            <a:ext uri="{FF2B5EF4-FFF2-40B4-BE49-F238E27FC236}">
              <a16:creationId xmlns:a16="http://schemas.microsoft.com/office/drawing/2014/main" id="{A47B9DCD-D80B-45DA-BFE4-3E13CB4AF288}"/>
            </a:ext>
            <a:ext uri="{147F2762-F138-4A5C-976F-8EAC2B608ADB}">
              <a16:predDERef xmlns:a16="http://schemas.microsoft.com/office/drawing/2014/main" pred="{3CE6F307-F7FA-4B99-9F4E-58B4BDB2CC1A}"/>
            </a:ext>
          </a:extLst>
        </xdr:cNvPr>
        <xdr:cNvSpPr txBox="1"/>
      </xdr:nvSpPr>
      <xdr:spPr>
        <a:xfrm>
          <a:off x="15544800" y="2857500"/>
          <a:ext cx="43529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18</xdr:col>
      <xdr:colOff>0</xdr:colOff>
      <xdr:row>73</xdr:row>
      <xdr:rowOff>9525</xdr:rowOff>
    </xdr:from>
    <xdr:to>
      <xdr:col>22</xdr:col>
      <xdr:colOff>247650</xdr:colOff>
      <xdr:row>77</xdr:row>
      <xdr:rowOff>171450</xdr:rowOff>
    </xdr:to>
    <xdr:sp macro="" textlink="">
      <xdr:nvSpPr>
        <xdr:cNvPr id="11" name="TextBox 13">
          <a:extLst>
            <a:ext uri="{FF2B5EF4-FFF2-40B4-BE49-F238E27FC236}">
              <a16:creationId xmlns:a16="http://schemas.microsoft.com/office/drawing/2014/main" id="{DFB48E86-A0DB-4C82-8231-A70388EBCF33}"/>
            </a:ext>
            <a:ext uri="{147F2762-F138-4A5C-976F-8EAC2B608ADB}">
              <a16:predDERef xmlns:a16="http://schemas.microsoft.com/office/drawing/2014/main" pred="{A47B9DCD-D80B-45DA-BFE4-3E13CB4AF288}"/>
            </a:ext>
          </a:extLst>
        </xdr:cNvPr>
        <xdr:cNvSpPr txBox="1"/>
      </xdr:nvSpPr>
      <xdr:spPr>
        <a:xfrm>
          <a:off x="15544800" y="14344650"/>
          <a:ext cx="348615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990600</xdr:colOff>
      <xdr:row>78</xdr:row>
      <xdr:rowOff>104775</xdr:rowOff>
    </xdr:from>
    <xdr:to>
      <xdr:col>26</xdr:col>
      <xdr:colOff>0</xdr:colOff>
      <xdr:row>84</xdr:row>
      <xdr:rowOff>9525</xdr:rowOff>
    </xdr:to>
    <xdr:sp macro="" textlink="">
      <xdr:nvSpPr>
        <xdr:cNvPr id="12" name="TextBox 14">
          <a:extLst>
            <a:ext uri="{FF2B5EF4-FFF2-40B4-BE49-F238E27FC236}">
              <a16:creationId xmlns:a16="http://schemas.microsoft.com/office/drawing/2014/main" id="{12E84D4F-BF0E-4BF7-8B44-A2D00D4D5D10}"/>
            </a:ext>
            <a:ext uri="{147F2762-F138-4A5C-976F-8EAC2B608ADB}">
              <a16:predDERef xmlns:a16="http://schemas.microsoft.com/office/drawing/2014/main" pred="{DFB48E86-A0DB-4C82-8231-A70388EBCF33}"/>
            </a:ext>
          </a:extLst>
        </xdr:cNvPr>
        <xdr:cNvSpPr txBox="1"/>
      </xdr:nvSpPr>
      <xdr:spPr>
        <a:xfrm>
          <a:off x="15544800" y="15392400"/>
          <a:ext cx="5676900"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13" name="Picture 10">
          <a:extLst>
            <a:ext uri="{FF2B5EF4-FFF2-40B4-BE49-F238E27FC236}">
              <a16:creationId xmlns:a16="http://schemas.microsoft.com/office/drawing/2014/main" id="{0D1C7503-6439-4919-88A9-4591F056ADC3}"/>
            </a:ext>
            <a:ext uri="{147F2762-F138-4A5C-976F-8EAC2B608ADB}">
              <a16:predDERef xmlns:a16="http://schemas.microsoft.com/office/drawing/2014/main" pred="{12E84D4F-BF0E-4BF7-8B44-A2D00D4D5D10}"/>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19050</xdr:colOff>
      <xdr:row>14</xdr:row>
      <xdr:rowOff>180975</xdr:rowOff>
    </xdr:from>
    <xdr:to>
      <xdr:col>18</xdr:col>
      <xdr:colOff>238125</xdr:colOff>
      <xdr:row>18</xdr:row>
      <xdr:rowOff>123825</xdr:rowOff>
    </xdr:to>
    <xdr:cxnSp macro="">
      <xdr:nvCxnSpPr>
        <xdr:cNvPr id="4" name="Straight Arrow Connector 3">
          <a:extLst>
            <a:ext uri="{FF2B5EF4-FFF2-40B4-BE49-F238E27FC236}">
              <a16:creationId xmlns:a16="http://schemas.microsoft.com/office/drawing/2014/main" id="{E93F7F47-0D33-4E16-989A-49C51890CB90}"/>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4773275" y="327660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54429</xdr:colOff>
      <xdr:row>75</xdr:row>
      <xdr:rowOff>136072</xdr:rowOff>
    </xdr:from>
    <xdr:to>
      <xdr:col>18</xdr:col>
      <xdr:colOff>244929</xdr:colOff>
      <xdr:row>77</xdr:row>
      <xdr:rowOff>95250</xdr:rowOff>
    </xdr:to>
    <xdr:cxnSp macro="">
      <xdr:nvCxnSpPr>
        <xdr:cNvPr id="6" name="Straight Arrow Connector 5">
          <a:extLst>
            <a:ext uri="{FF2B5EF4-FFF2-40B4-BE49-F238E27FC236}">
              <a16:creationId xmlns:a16="http://schemas.microsoft.com/office/drawing/2014/main" id="{CAFCC5C7-3C3C-4DD8-89E2-1E98BD98C9D1}"/>
            </a:ext>
          </a:extLst>
        </xdr:cNvPr>
        <xdr:cNvCxnSpPr/>
      </xdr:nvCxnSpPr>
      <xdr:spPr>
        <a:xfrm flipH="1">
          <a:off x="14561004" y="14852197"/>
          <a:ext cx="1190625"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40822</xdr:colOff>
      <xdr:row>78</xdr:row>
      <xdr:rowOff>108857</xdr:rowOff>
    </xdr:from>
    <xdr:to>
      <xdr:col>18</xdr:col>
      <xdr:colOff>258536</xdr:colOff>
      <xdr:row>81</xdr:row>
      <xdr:rowOff>95250</xdr:rowOff>
    </xdr:to>
    <xdr:cxnSp macro="">
      <xdr:nvCxnSpPr>
        <xdr:cNvPr id="8" name="Straight Arrow Connector 7">
          <a:extLst>
            <a:ext uri="{FF2B5EF4-FFF2-40B4-BE49-F238E27FC236}">
              <a16:creationId xmlns:a16="http://schemas.microsoft.com/office/drawing/2014/main" id="{375846DD-153B-42BE-B08D-A851CF4E0BB4}"/>
            </a:ext>
          </a:extLst>
        </xdr:cNvPr>
        <xdr:cNvCxnSpPr/>
      </xdr:nvCxnSpPr>
      <xdr:spPr>
        <a:xfrm flipH="1" flipV="1">
          <a:off x="14547397" y="15396482"/>
          <a:ext cx="1217839" cy="3673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15</xdr:col>
      <xdr:colOff>1144681</xdr:colOff>
      <xdr:row>0</xdr:row>
      <xdr:rowOff>752475</xdr:rowOff>
    </xdr:to>
    <xdr:sp macro="" textlink="">
      <xdr:nvSpPr>
        <xdr:cNvPr id="9" name="Rectangle 8">
          <a:extLst>
            <a:ext uri="{FF2B5EF4-FFF2-40B4-BE49-F238E27FC236}">
              <a16:creationId xmlns:a16="http://schemas.microsoft.com/office/drawing/2014/main" id="{3BF7F4E9-3A4F-4010-A8BE-858947C4FB59}"/>
            </a:ext>
            <a:ext uri="{147F2762-F138-4A5C-976F-8EAC2B608ADB}">
              <a16:predDERef xmlns:a16="http://schemas.microsoft.com/office/drawing/2014/main" pred="{1314A209-C580-4E72-BEE9-D7A863F812B5}"/>
            </a:ext>
          </a:extLst>
        </xdr:cNvPr>
        <xdr:cNvSpPr/>
      </xdr:nvSpPr>
      <xdr:spPr>
        <a:xfrm>
          <a:off x="0" y="9525"/>
          <a:ext cx="14498731" cy="742950"/>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466725</xdr:colOff>
      <xdr:row>0</xdr:row>
      <xdr:rowOff>314325</xdr:rowOff>
    </xdr:from>
    <xdr:to>
      <xdr:col>11</xdr:col>
      <xdr:colOff>600075</xdr:colOff>
      <xdr:row>1</xdr:row>
      <xdr:rowOff>47625</xdr:rowOff>
    </xdr:to>
    <xdr:sp macro="" textlink="">
      <xdr:nvSpPr>
        <xdr:cNvPr id="10" name="TextBox 9">
          <a:extLst>
            <a:ext uri="{FF2B5EF4-FFF2-40B4-BE49-F238E27FC236}">
              <a16:creationId xmlns:a16="http://schemas.microsoft.com/office/drawing/2014/main" id="{DC0AB459-5046-4EF6-B0D8-28321F05BE0E}"/>
            </a:ext>
            <a:ext uri="{147F2762-F138-4A5C-976F-8EAC2B608ADB}">
              <a16:predDERef xmlns:a16="http://schemas.microsoft.com/office/drawing/2014/main" pred="{3BF7F4E9-3A4F-4010-A8BE-858947C4FB59}"/>
            </a:ext>
          </a:extLst>
        </xdr:cNvPr>
        <xdr:cNvSpPr txBox="1"/>
      </xdr:nvSpPr>
      <xdr:spPr>
        <a:xfrm>
          <a:off x="4781550" y="314325"/>
          <a:ext cx="62674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11" name="Picture 10">
          <a:extLst>
            <a:ext uri="{FF2B5EF4-FFF2-40B4-BE49-F238E27FC236}">
              <a16:creationId xmlns:a16="http://schemas.microsoft.com/office/drawing/2014/main" id="{619AF456-16E1-42DC-A1A8-E848FD198E1B}"/>
            </a:ext>
            <a:ext uri="{147F2762-F138-4A5C-976F-8EAC2B608ADB}">
              <a16:predDERef xmlns:a16="http://schemas.microsoft.com/office/drawing/2014/main" pred="{DC0AB459-5046-4EF6-B0D8-28321F05BE0E}"/>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twoCellAnchor>
    <xdr:from>
      <xdr:col>17</xdr:col>
      <xdr:colOff>47625</xdr:colOff>
      <xdr:row>19</xdr:row>
      <xdr:rowOff>104775</xdr:rowOff>
    </xdr:from>
    <xdr:to>
      <xdr:col>18</xdr:col>
      <xdr:colOff>266700</xdr:colOff>
      <xdr:row>22</xdr:row>
      <xdr:rowOff>0</xdr:rowOff>
    </xdr:to>
    <xdr:cxnSp macro="">
      <xdr:nvCxnSpPr>
        <xdr:cNvPr id="12" name="Straight Arrow Connector 3">
          <a:extLst>
            <a:ext uri="{FF2B5EF4-FFF2-40B4-BE49-F238E27FC236}">
              <a16:creationId xmlns:a16="http://schemas.microsoft.com/office/drawing/2014/main" id="{9FD55450-5FD8-423D-A5BE-FB41949F0A9D}"/>
            </a:ext>
            <a:ext uri="{147F2762-F138-4A5C-976F-8EAC2B608ADB}">
              <a16:predDERef xmlns:a16="http://schemas.microsoft.com/office/drawing/2014/main" pred="{A6E801D0-9DAA-8D51-9F04-58191956A812}"/>
            </a:ext>
          </a:extLst>
        </xdr:cNvPr>
        <xdr:cNvCxnSpPr>
          <a:cxnSpLocks/>
        </xdr:cNvCxnSpPr>
      </xdr:nvCxnSpPr>
      <xdr:spPr>
        <a:xfrm flipH="1" flipV="1">
          <a:off x="14554200" y="4152900"/>
          <a:ext cx="1219200"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18</xdr:row>
      <xdr:rowOff>161925</xdr:rowOff>
    </xdr:from>
    <xdr:to>
      <xdr:col>23</xdr:col>
      <xdr:colOff>123825</xdr:colOff>
      <xdr:row>24</xdr:row>
      <xdr:rowOff>0</xdr:rowOff>
    </xdr:to>
    <xdr:sp macro="" textlink="">
      <xdr:nvSpPr>
        <xdr:cNvPr id="3" name="TextBox 2">
          <a:extLst>
            <a:ext uri="{FF2B5EF4-FFF2-40B4-BE49-F238E27FC236}">
              <a16:creationId xmlns:a16="http://schemas.microsoft.com/office/drawing/2014/main" id="{A5DB8B15-267E-43F8-8866-8AEE833A57C3}"/>
            </a:ext>
            <a:ext uri="{147F2762-F138-4A5C-976F-8EAC2B608ADB}">
              <a16:predDERef xmlns:a16="http://schemas.microsoft.com/office/drawing/2014/main" pred="{9FD55450-5FD8-423D-A5BE-FB41949F0A9D}"/>
            </a:ext>
          </a:extLst>
        </xdr:cNvPr>
        <xdr:cNvSpPr txBox="1"/>
      </xdr:nvSpPr>
      <xdr:spPr>
        <a:xfrm>
          <a:off x="15506700" y="3886200"/>
          <a:ext cx="3971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18</xdr:col>
      <xdr:colOff>0</xdr:colOff>
      <xdr:row>12</xdr:row>
      <xdr:rowOff>142875</xdr:rowOff>
    </xdr:from>
    <xdr:to>
      <xdr:col>23</xdr:col>
      <xdr:colOff>504825</xdr:colOff>
      <xdr:row>17</xdr:row>
      <xdr:rowOff>161925</xdr:rowOff>
    </xdr:to>
    <xdr:sp macro="" textlink="">
      <xdr:nvSpPr>
        <xdr:cNvPr id="13" name="TextBox 12">
          <a:extLst>
            <a:ext uri="{FF2B5EF4-FFF2-40B4-BE49-F238E27FC236}">
              <a16:creationId xmlns:a16="http://schemas.microsoft.com/office/drawing/2014/main" id="{03F8149D-766A-40C5-996F-BC31459501EB}"/>
            </a:ext>
            <a:ext uri="{147F2762-F138-4A5C-976F-8EAC2B608ADB}">
              <a16:predDERef xmlns:a16="http://schemas.microsoft.com/office/drawing/2014/main" pred="{A5DB8B15-267E-43F8-8866-8AEE833A57C3}"/>
            </a:ext>
          </a:extLst>
        </xdr:cNvPr>
        <xdr:cNvSpPr txBox="1"/>
      </xdr:nvSpPr>
      <xdr:spPr>
        <a:xfrm>
          <a:off x="15506700" y="2781300"/>
          <a:ext cx="4352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18</xdr:col>
      <xdr:colOff>0</xdr:colOff>
      <xdr:row>73</xdr:row>
      <xdr:rowOff>9525</xdr:rowOff>
    </xdr:from>
    <xdr:to>
      <xdr:col>22</xdr:col>
      <xdr:colOff>247650</xdr:colOff>
      <xdr:row>77</xdr:row>
      <xdr:rowOff>171450</xdr:rowOff>
    </xdr:to>
    <xdr:sp macro="" textlink="">
      <xdr:nvSpPr>
        <xdr:cNvPr id="14" name="TextBox 13">
          <a:extLst>
            <a:ext uri="{FF2B5EF4-FFF2-40B4-BE49-F238E27FC236}">
              <a16:creationId xmlns:a16="http://schemas.microsoft.com/office/drawing/2014/main" id="{4C790876-2FFF-4B4D-A447-8EB201250860}"/>
            </a:ext>
            <a:ext uri="{147F2762-F138-4A5C-976F-8EAC2B608ADB}">
              <a16:predDERef xmlns:a16="http://schemas.microsoft.com/office/drawing/2014/main" pred="{03F8149D-766A-40C5-996F-BC31459501EB}"/>
            </a:ext>
          </a:extLst>
        </xdr:cNvPr>
        <xdr:cNvSpPr txBox="1"/>
      </xdr:nvSpPr>
      <xdr:spPr>
        <a:xfrm>
          <a:off x="15506700" y="13687425"/>
          <a:ext cx="348615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990600</xdr:colOff>
      <xdr:row>78</xdr:row>
      <xdr:rowOff>104775</xdr:rowOff>
    </xdr:from>
    <xdr:to>
      <xdr:col>26</xdr:col>
      <xdr:colOff>0</xdr:colOff>
      <xdr:row>84</xdr:row>
      <xdr:rowOff>9525</xdr:rowOff>
    </xdr:to>
    <xdr:sp macro="" textlink="">
      <xdr:nvSpPr>
        <xdr:cNvPr id="15" name="TextBox 14">
          <a:extLst>
            <a:ext uri="{FF2B5EF4-FFF2-40B4-BE49-F238E27FC236}">
              <a16:creationId xmlns:a16="http://schemas.microsoft.com/office/drawing/2014/main" id="{114AD0FE-1E15-49ED-841E-9F9C234958FF}"/>
            </a:ext>
            <a:ext uri="{147F2762-F138-4A5C-976F-8EAC2B608ADB}">
              <a16:predDERef xmlns:a16="http://schemas.microsoft.com/office/drawing/2014/main" pred="{4C790876-2FFF-4B4D-A447-8EB201250860}"/>
            </a:ext>
          </a:extLst>
        </xdr:cNvPr>
        <xdr:cNvSpPr txBox="1"/>
      </xdr:nvSpPr>
      <xdr:spPr>
        <a:xfrm>
          <a:off x="15497175" y="14687550"/>
          <a:ext cx="56864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twoCellAnchor editAs="oneCell">
    <xdr:from>
      <xdr:col>0</xdr:col>
      <xdr:colOff>76200</xdr:colOff>
      <xdr:row>0</xdr:row>
      <xdr:rowOff>0</xdr:rowOff>
    </xdr:from>
    <xdr:to>
      <xdr:col>1</xdr:col>
      <xdr:colOff>409575</xdr:colOff>
      <xdr:row>0</xdr:row>
      <xdr:rowOff>723900</xdr:rowOff>
    </xdr:to>
    <xdr:pic>
      <xdr:nvPicPr>
        <xdr:cNvPr id="2" name="Picture 10">
          <a:extLst>
            <a:ext uri="{FF2B5EF4-FFF2-40B4-BE49-F238E27FC236}">
              <a16:creationId xmlns:a16="http://schemas.microsoft.com/office/drawing/2014/main" id="{285026A9-255A-4F08-8EF9-E95CE6A4ABB1}"/>
            </a:ext>
            <a:ext uri="{147F2762-F138-4A5C-976F-8EAC2B608ADB}">
              <a16:predDERef xmlns:a16="http://schemas.microsoft.com/office/drawing/2014/main" pred="{114AD0FE-1E15-49ED-841E-9F9C234958FF}"/>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38100</xdr:colOff>
      <xdr:row>14</xdr:row>
      <xdr:rowOff>152400</xdr:rowOff>
    </xdr:from>
    <xdr:to>
      <xdr:col>18</xdr:col>
      <xdr:colOff>257175</xdr:colOff>
      <xdr:row>18</xdr:row>
      <xdr:rowOff>95250</xdr:rowOff>
    </xdr:to>
    <xdr:cxnSp macro="">
      <xdr:nvCxnSpPr>
        <xdr:cNvPr id="2" name="Straight Arrow Connector 3">
          <a:extLst>
            <a:ext uri="{FF2B5EF4-FFF2-40B4-BE49-F238E27FC236}">
              <a16:creationId xmlns:a16="http://schemas.microsoft.com/office/drawing/2014/main" id="{A0BE68DD-6845-447D-AF09-15F1B110BF01}"/>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5754350" y="3248025"/>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54429</xdr:colOff>
      <xdr:row>75</xdr:row>
      <xdr:rowOff>136072</xdr:rowOff>
    </xdr:from>
    <xdr:to>
      <xdr:col>18</xdr:col>
      <xdr:colOff>244929</xdr:colOff>
      <xdr:row>77</xdr:row>
      <xdr:rowOff>95250</xdr:rowOff>
    </xdr:to>
    <xdr:cxnSp macro="">
      <xdr:nvCxnSpPr>
        <xdr:cNvPr id="3" name="Straight Arrow Connector 5">
          <a:extLst>
            <a:ext uri="{FF2B5EF4-FFF2-40B4-BE49-F238E27FC236}">
              <a16:creationId xmlns:a16="http://schemas.microsoft.com/office/drawing/2014/main" id="{FC3F16BE-3A3D-42F7-8711-E363298D4257}"/>
            </a:ext>
            <a:ext uri="{147F2762-F138-4A5C-976F-8EAC2B608ADB}">
              <a16:predDERef xmlns:a16="http://schemas.microsoft.com/office/drawing/2014/main" pred="{A0BE68DD-6845-447D-AF09-15F1B110BF01}"/>
            </a:ext>
          </a:extLst>
        </xdr:cNvPr>
        <xdr:cNvCxnSpPr/>
      </xdr:nvCxnSpPr>
      <xdr:spPr>
        <a:xfrm flipH="1">
          <a:off x="14561004" y="14223547"/>
          <a:ext cx="914400" cy="32112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17</xdr:col>
      <xdr:colOff>40822</xdr:colOff>
      <xdr:row>78</xdr:row>
      <xdr:rowOff>108857</xdr:rowOff>
    </xdr:from>
    <xdr:to>
      <xdr:col>18</xdr:col>
      <xdr:colOff>258536</xdr:colOff>
      <xdr:row>81</xdr:row>
      <xdr:rowOff>95250</xdr:rowOff>
    </xdr:to>
    <xdr:cxnSp macro="">
      <xdr:nvCxnSpPr>
        <xdr:cNvPr id="4" name="Straight Arrow Connector 7">
          <a:extLst>
            <a:ext uri="{FF2B5EF4-FFF2-40B4-BE49-F238E27FC236}">
              <a16:creationId xmlns:a16="http://schemas.microsoft.com/office/drawing/2014/main" id="{54BD62DD-BF05-46E2-8C57-C7F2219B77E5}"/>
            </a:ext>
            <a:ext uri="{147F2762-F138-4A5C-976F-8EAC2B608ADB}">
              <a16:predDERef xmlns:a16="http://schemas.microsoft.com/office/drawing/2014/main" pred="{FC3F16BE-3A3D-42F7-8711-E363298D4257}"/>
            </a:ext>
          </a:extLst>
        </xdr:cNvPr>
        <xdr:cNvCxnSpPr/>
      </xdr:nvCxnSpPr>
      <xdr:spPr>
        <a:xfrm flipH="1" flipV="1">
          <a:off x="14547397" y="14739257"/>
          <a:ext cx="941614" cy="34834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15</xdr:col>
      <xdr:colOff>1144681</xdr:colOff>
      <xdr:row>0</xdr:row>
      <xdr:rowOff>752475</xdr:rowOff>
    </xdr:to>
    <xdr:sp macro="" textlink="">
      <xdr:nvSpPr>
        <xdr:cNvPr id="5" name="Rectangle 8">
          <a:extLst>
            <a:ext uri="{FF2B5EF4-FFF2-40B4-BE49-F238E27FC236}">
              <a16:creationId xmlns:a16="http://schemas.microsoft.com/office/drawing/2014/main" id="{7E72B65A-E739-42B3-97C2-3A706A789DB2}"/>
            </a:ext>
            <a:ext uri="{147F2762-F138-4A5C-976F-8EAC2B608ADB}">
              <a16:predDERef xmlns:a16="http://schemas.microsoft.com/office/drawing/2014/main" pred="{54BD62DD-BF05-46E2-8C57-C7F2219B77E5}"/>
            </a:ext>
          </a:extLst>
        </xdr:cNvPr>
        <xdr:cNvSpPr/>
      </xdr:nvSpPr>
      <xdr:spPr>
        <a:xfrm>
          <a:off x="0" y="9525"/>
          <a:ext cx="14498731" cy="742950"/>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438150</xdr:colOff>
      <xdr:row>0</xdr:row>
      <xdr:rowOff>323850</xdr:rowOff>
    </xdr:from>
    <xdr:to>
      <xdr:col>11</xdr:col>
      <xdr:colOff>571500</xdr:colOff>
      <xdr:row>1</xdr:row>
      <xdr:rowOff>57150</xdr:rowOff>
    </xdr:to>
    <xdr:sp macro="" textlink="">
      <xdr:nvSpPr>
        <xdr:cNvPr id="13" name="TextBox 9">
          <a:extLst>
            <a:ext uri="{FF2B5EF4-FFF2-40B4-BE49-F238E27FC236}">
              <a16:creationId xmlns:a16="http://schemas.microsoft.com/office/drawing/2014/main" id="{47AAB63F-576E-4999-9D8B-8BC0E333AC4E}"/>
            </a:ext>
            <a:ext uri="{147F2762-F138-4A5C-976F-8EAC2B608ADB}">
              <a16:predDERef xmlns:a16="http://schemas.microsoft.com/office/drawing/2014/main" pred="{7E72B65A-E739-42B3-97C2-3A706A789DB2}"/>
            </a:ext>
          </a:extLst>
        </xdr:cNvPr>
        <xdr:cNvSpPr txBox="1"/>
      </xdr:nvSpPr>
      <xdr:spPr>
        <a:xfrm>
          <a:off x="5467350" y="323850"/>
          <a:ext cx="62674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a:t>
          </a:r>
        </a:p>
      </xdr:txBody>
    </xdr:sp>
    <xdr:clientData/>
  </xdr:twoCellAnchor>
  <xdr:twoCellAnchor editAs="oneCell">
    <xdr:from>
      <xdr:col>0</xdr:col>
      <xdr:colOff>76200</xdr:colOff>
      <xdr:row>0</xdr:row>
      <xdr:rowOff>0</xdr:rowOff>
    </xdr:from>
    <xdr:to>
      <xdr:col>1</xdr:col>
      <xdr:colOff>400050</xdr:colOff>
      <xdr:row>0</xdr:row>
      <xdr:rowOff>723900</xdr:rowOff>
    </xdr:to>
    <xdr:pic>
      <xdr:nvPicPr>
        <xdr:cNvPr id="7" name="Picture 10">
          <a:extLst>
            <a:ext uri="{FF2B5EF4-FFF2-40B4-BE49-F238E27FC236}">
              <a16:creationId xmlns:a16="http://schemas.microsoft.com/office/drawing/2014/main" id="{76D1605A-51C5-4C9E-A601-72DA6AEF8573}"/>
            </a:ext>
            <a:ext uri="{147F2762-F138-4A5C-976F-8EAC2B608ADB}">
              <a16:predDERef xmlns:a16="http://schemas.microsoft.com/office/drawing/2014/main" pred="{47AAB63F-576E-4999-9D8B-8BC0E333AC4E}"/>
            </a:ext>
          </a:extLst>
        </xdr:cNvPr>
        <xdr:cNvPicPr>
          <a:picLocks noChangeAspect="1"/>
        </xdr:cNvPicPr>
      </xdr:nvPicPr>
      <xdr:blipFill>
        <a:blip xmlns:r="http://schemas.openxmlformats.org/officeDocument/2006/relationships" r:embed="rId1"/>
        <a:stretch>
          <a:fillRect/>
        </a:stretch>
      </xdr:blipFill>
      <xdr:spPr>
        <a:xfrm>
          <a:off x="76200" y="0"/>
          <a:ext cx="1028700" cy="723900"/>
        </a:xfrm>
        <a:prstGeom prst="rect">
          <a:avLst/>
        </a:prstGeom>
      </xdr:spPr>
    </xdr:pic>
    <xdr:clientData/>
  </xdr:twoCellAnchor>
  <xdr:twoCellAnchor>
    <xdr:from>
      <xdr:col>17</xdr:col>
      <xdr:colOff>47625</xdr:colOff>
      <xdr:row>19</xdr:row>
      <xdr:rowOff>104775</xdr:rowOff>
    </xdr:from>
    <xdr:to>
      <xdr:col>18</xdr:col>
      <xdr:colOff>266700</xdr:colOff>
      <xdr:row>22</xdr:row>
      <xdr:rowOff>0</xdr:rowOff>
    </xdr:to>
    <xdr:cxnSp macro="">
      <xdr:nvCxnSpPr>
        <xdr:cNvPr id="8" name="Straight Arrow Connector 3">
          <a:extLst>
            <a:ext uri="{FF2B5EF4-FFF2-40B4-BE49-F238E27FC236}">
              <a16:creationId xmlns:a16="http://schemas.microsoft.com/office/drawing/2014/main" id="{756E7940-020B-4A59-861D-256AE6E357A3}"/>
            </a:ext>
            <a:ext uri="{147F2762-F138-4A5C-976F-8EAC2B608ADB}">
              <a16:predDERef xmlns:a16="http://schemas.microsoft.com/office/drawing/2014/main" pred="{76D1605A-51C5-4C9E-A601-72DA6AEF8573}"/>
            </a:ext>
          </a:extLst>
        </xdr:cNvPr>
        <xdr:cNvCxnSpPr>
          <a:cxnSpLocks/>
        </xdr:cNvCxnSpPr>
      </xdr:nvCxnSpPr>
      <xdr:spPr>
        <a:xfrm flipH="1" flipV="1">
          <a:off x="14554200" y="4057650"/>
          <a:ext cx="942975" cy="4381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18</xdr:col>
      <xdr:colOff>0</xdr:colOff>
      <xdr:row>18</xdr:row>
      <xdr:rowOff>161925</xdr:rowOff>
    </xdr:from>
    <xdr:to>
      <xdr:col>23</xdr:col>
      <xdr:colOff>123825</xdr:colOff>
      <xdr:row>24</xdr:row>
      <xdr:rowOff>0</xdr:rowOff>
    </xdr:to>
    <xdr:sp macro="" textlink="">
      <xdr:nvSpPr>
        <xdr:cNvPr id="9" name="TextBox 2">
          <a:extLst>
            <a:ext uri="{FF2B5EF4-FFF2-40B4-BE49-F238E27FC236}">
              <a16:creationId xmlns:a16="http://schemas.microsoft.com/office/drawing/2014/main" id="{E85636C5-EBF9-41B4-8326-318BBC802ADF}"/>
            </a:ext>
            <a:ext uri="{147F2762-F138-4A5C-976F-8EAC2B608ADB}">
              <a16:predDERef xmlns:a16="http://schemas.microsoft.com/office/drawing/2014/main" pred="{756E7940-020B-4A59-861D-256AE6E357A3}"/>
            </a:ext>
          </a:extLst>
        </xdr:cNvPr>
        <xdr:cNvSpPr txBox="1"/>
      </xdr:nvSpPr>
      <xdr:spPr>
        <a:xfrm>
          <a:off x="15230475" y="3933825"/>
          <a:ext cx="3971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18</xdr:col>
      <xdr:colOff>0</xdr:colOff>
      <xdr:row>12</xdr:row>
      <xdr:rowOff>142875</xdr:rowOff>
    </xdr:from>
    <xdr:to>
      <xdr:col>23</xdr:col>
      <xdr:colOff>504825</xdr:colOff>
      <xdr:row>17</xdr:row>
      <xdr:rowOff>161925</xdr:rowOff>
    </xdr:to>
    <xdr:sp macro="" textlink="">
      <xdr:nvSpPr>
        <xdr:cNvPr id="10" name="TextBox 12">
          <a:extLst>
            <a:ext uri="{FF2B5EF4-FFF2-40B4-BE49-F238E27FC236}">
              <a16:creationId xmlns:a16="http://schemas.microsoft.com/office/drawing/2014/main" id="{C2A4DDEA-9EE6-4BEB-8169-F1C75452D673}"/>
            </a:ext>
            <a:ext uri="{147F2762-F138-4A5C-976F-8EAC2B608ADB}">
              <a16:predDERef xmlns:a16="http://schemas.microsoft.com/office/drawing/2014/main" pred="{E85636C5-EBF9-41B4-8326-318BBC802ADF}"/>
            </a:ext>
          </a:extLst>
        </xdr:cNvPr>
        <xdr:cNvSpPr txBox="1"/>
      </xdr:nvSpPr>
      <xdr:spPr>
        <a:xfrm>
          <a:off x="15230475" y="2828925"/>
          <a:ext cx="43529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18</xdr:col>
      <xdr:colOff>0</xdr:colOff>
      <xdr:row>73</xdr:row>
      <xdr:rowOff>9525</xdr:rowOff>
    </xdr:from>
    <xdr:to>
      <xdr:col>22</xdr:col>
      <xdr:colOff>247650</xdr:colOff>
      <xdr:row>77</xdr:row>
      <xdr:rowOff>171450</xdr:rowOff>
    </xdr:to>
    <xdr:sp macro="" textlink="">
      <xdr:nvSpPr>
        <xdr:cNvPr id="11" name="TextBox 13">
          <a:extLst>
            <a:ext uri="{FF2B5EF4-FFF2-40B4-BE49-F238E27FC236}">
              <a16:creationId xmlns:a16="http://schemas.microsoft.com/office/drawing/2014/main" id="{1C2B062D-42C0-4CFB-ADA3-C3CB230B2E17}"/>
            </a:ext>
            <a:ext uri="{147F2762-F138-4A5C-976F-8EAC2B608ADB}">
              <a16:predDERef xmlns:a16="http://schemas.microsoft.com/office/drawing/2014/main" pred="{C2A4DDEA-9EE6-4BEB-8169-F1C75452D673}"/>
            </a:ext>
          </a:extLst>
        </xdr:cNvPr>
        <xdr:cNvSpPr txBox="1"/>
      </xdr:nvSpPr>
      <xdr:spPr>
        <a:xfrm>
          <a:off x="15230475" y="13735050"/>
          <a:ext cx="3486150"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17</xdr:col>
      <xdr:colOff>990600</xdr:colOff>
      <xdr:row>78</xdr:row>
      <xdr:rowOff>104775</xdr:rowOff>
    </xdr:from>
    <xdr:to>
      <xdr:col>26</xdr:col>
      <xdr:colOff>0</xdr:colOff>
      <xdr:row>84</xdr:row>
      <xdr:rowOff>9525</xdr:rowOff>
    </xdr:to>
    <xdr:sp macro="" textlink="">
      <xdr:nvSpPr>
        <xdr:cNvPr id="12" name="TextBox 14">
          <a:extLst>
            <a:ext uri="{FF2B5EF4-FFF2-40B4-BE49-F238E27FC236}">
              <a16:creationId xmlns:a16="http://schemas.microsoft.com/office/drawing/2014/main" id="{5C14A87C-A7A5-4C08-8606-6FC0D53B527E}"/>
            </a:ext>
            <a:ext uri="{147F2762-F138-4A5C-976F-8EAC2B608ADB}">
              <a16:predDERef xmlns:a16="http://schemas.microsoft.com/office/drawing/2014/main" pred="{1C2B062D-42C0-4CFB-ADA3-C3CB230B2E17}"/>
            </a:ext>
          </a:extLst>
        </xdr:cNvPr>
        <xdr:cNvSpPr txBox="1"/>
      </xdr:nvSpPr>
      <xdr:spPr>
        <a:xfrm>
          <a:off x="15230475" y="14735175"/>
          <a:ext cx="567690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28575</xdr:colOff>
      <xdr:row>14</xdr:row>
      <xdr:rowOff>161925</xdr:rowOff>
    </xdr:from>
    <xdr:to>
      <xdr:col>23</xdr:col>
      <xdr:colOff>361950</xdr:colOff>
      <xdr:row>18</xdr:row>
      <xdr:rowOff>104775</xdr:rowOff>
    </xdr:to>
    <xdr:cxnSp macro="">
      <xdr:nvCxnSpPr>
        <xdr:cNvPr id="2" name="Straight Arrow Connector 3">
          <a:extLst>
            <a:ext uri="{FF2B5EF4-FFF2-40B4-BE49-F238E27FC236}">
              <a16:creationId xmlns:a16="http://schemas.microsoft.com/office/drawing/2014/main" id="{F5D016FA-E790-4193-975D-06680DA1600F}"/>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19450050" y="325755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28575</xdr:colOff>
      <xdr:row>75</xdr:row>
      <xdr:rowOff>109538</xdr:rowOff>
    </xdr:from>
    <xdr:to>
      <xdr:col>23</xdr:col>
      <xdr:colOff>419100</xdr:colOff>
      <xdr:row>77</xdr:row>
      <xdr:rowOff>114300</xdr:rowOff>
    </xdr:to>
    <xdr:cxnSp macro="">
      <xdr:nvCxnSpPr>
        <xdr:cNvPr id="3" name="Straight Arrow Connector 5">
          <a:extLst>
            <a:ext uri="{FF2B5EF4-FFF2-40B4-BE49-F238E27FC236}">
              <a16:creationId xmlns:a16="http://schemas.microsoft.com/office/drawing/2014/main" id="{F7E220CB-0C07-41CF-8932-D80E5BE7692B}"/>
            </a:ext>
            <a:ext uri="{147F2762-F138-4A5C-976F-8EAC2B608ADB}">
              <a16:predDERef xmlns:a16="http://schemas.microsoft.com/office/drawing/2014/main" pred="{F5D016FA-E790-4193-975D-06680DA1600F}"/>
            </a:ext>
          </a:extLst>
        </xdr:cNvPr>
        <xdr:cNvCxnSpPr>
          <a:cxnSpLocks/>
          <a:stCxn id="11" idx="1"/>
          <a:extLst>
            <a:ext uri="{5F17804C-33F3-41E3-A699-7DCFA2EF7971}">
              <a16:cxnDERefs xmlns:a16="http://schemas.microsoft.com/office/drawing/2014/main" st="{49B6D4FF-9898-4C43-AC1E-EC4DE7073D31}" end="{00000000-0000-0000-0000-000000000000}"/>
            </a:ext>
          </a:extLst>
        </xdr:cNvCxnSpPr>
      </xdr:nvCxnSpPr>
      <xdr:spPr>
        <a:xfrm flipH="1">
          <a:off x="19450050" y="14825663"/>
          <a:ext cx="1000125" cy="385762"/>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22</xdr:col>
      <xdr:colOff>38100</xdr:colOff>
      <xdr:row>78</xdr:row>
      <xdr:rowOff>95250</xdr:rowOff>
    </xdr:from>
    <xdr:to>
      <xdr:col>23</xdr:col>
      <xdr:colOff>428625</xdr:colOff>
      <xdr:row>82</xdr:row>
      <xdr:rowOff>4763</xdr:rowOff>
    </xdr:to>
    <xdr:cxnSp macro="">
      <xdr:nvCxnSpPr>
        <xdr:cNvPr id="4" name="Straight Arrow Connector 7">
          <a:extLst>
            <a:ext uri="{FF2B5EF4-FFF2-40B4-BE49-F238E27FC236}">
              <a16:creationId xmlns:a16="http://schemas.microsoft.com/office/drawing/2014/main" id="{4C41CDB8-6D29-497C-A41A-EC8E77D2BDCB}"/>
            </a:ext>
            <a:ext uri="{147F2762-F138-4A5C-976F-8EAC2B608ADB}">
              <a16:predDERef xmlns:a16="http://schemas.microsoft.com/office/drawing/2014/main" pred="{F7E220CB-0C07-41CF-8932-D80E5BE7692B}"/>
            </a:ext>
          </a:extLst>
        </xdr:cNvPr>
        <xdr:cNvCxnSpPr>
          <a:cxnSpLocks/>
          <a:stCxn id="12" idx="1"/>
          <a:extLst>
            <a:ext uri="{5F17804C-33F3-41E3-A699-7DCFA2EF7971}">
              <a16:cxnDERefs xmlns:a16="http://schemas.microsoft.com/office/drawing/2014/main" st="{84078166-F3EF-42A2-92AF-0C009DD6DF1C}" end="{00000000-0000-0000-0000-000000000000}"/>
            </a:ext>
          </a:extLst>
        </xdr:cNvCxnSpPr>
      </xdr:nvCxnSpPr>
      <xdr:spPr>
        <a:xfrm flipH="1" flipV="1">
          <a:off x="19459575" y="15382875"/>
          <a:ext cx="1000125" cy="48101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22</xdr:col>
      <xdr:colOff>0</xdr:colOff>
      <xdr:row>0</xdr:row>
      <xdr:rowOff>828675</xdr:rowOff>
    </xdr:to>
    <xdr:sp macro="" textlink="">
      <xdr:nvSpPr>
        <xdr:cNvPr id="5" name="Rectangle 8">
          <a:extLst>
            <a:ext uri="{FF2B5EF4-FFF2-40B4-BE49-F238E27FC236}">
              <a16:creationId xmlns:a16="http://schemas.microsoft.com/office/drawing/2014/main" id="{5FF45412-C92E-4FB7-87D7-0719C3EE33BB}"/>
            </a:ext>
            <a:ext uri="{147F2762-F138-4A5C-976F-8EAC2B608ADB}">
              <a16:predDERef xmlns:a16="http://schemas.microsoft.com/office/drawing/2014/main" pred="{4C41CDB8-6D29-497C-A41A-EC8E77D2BDCB}"/>
            </a:ext>
          </a:extLst>
        </xdr:cNvPr>
        <xdr:cNvSpPr/>
      </xdr:nvSpPr>
      <xdr:spPr>
        <a:xfrm>
          <a:off x="0" y="9525"/>
          <a:ext cx="19421475" cy="819150"/>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4</xdr:col>
      <xdr:colOff>466725</xdr:colOff>
      <xdr:row>0</xdr:row>
      <xdr:rowOff>314325</xdr:rowOff>
    </xdr:from>
    <xdr:to>
      <xdr:col>13</xdr:col>
      <xdr:colOff>1095375</xdr:colOff>
      <xdr:row>1</xdr:row>
      <xdr:rowOff>47625</xdr:rowOff>
    </xdr:to>
    <xdr:sp macro="" textlink="">
      <xdr:nvSpPr>
        <xdr:cNvPr id="6" name="TextBox 9">
          <a:extLst>
            <a:ext uri="{FF2B5EF4-FFF2-40B4-BE49-F238E27FC236}">
              <a16:creationId xmlns:a16="http://schemas.microsoft.com/office/drawing/2014/main" id="{4A47778D-20EE-4F06-BCBE-0AF2A058A8DB}"/>
            </a:ext>
            <a:ext uri="{147F2762-F138-4A5C-976F-8EAC2B608ADB}">
              <a16:predDERef xmlns:a16="http://schemas.microsoft.com/office/drawing/2014/main" pred="{5FF45412-C92E-4FB7-87D7-0719C3EE33BB}"/>
            </a:ext>
          </a:extLst>
        </xdr:cNvPr>
        <xdr:cNvSpPr txBox="1"/>
      </xdr:nvSpPr>
      <xdr:spPr>
        <a:xfrm>
          <a:off x="5029200" y="314325"/>
          <a:ext cx="85153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 with ProForma </a:t>
          </a:r>
        </a:p>
      </xdr:txBody>
    </xdr:sp>
    <xdr:clientData/>
  </xdr:twoCellAnchor>
  <xdr:twoCellAnchor>
    <xdr:from>
      <xdr:col>22</xdr:col>
      <xdr:colOff>38100</xdr:colOff>
      <xdr:row>19</xdr:row>
      <xdr:rowOff>95250</xdr:rowOff>
    </xdr:from>
    <xdr:to>
      <xdr:col>23</xdr:col>
      <xdr:colOff>371475</xdr:colOff>
      <xdr:row>21</xdr:row>
      <xdr:rowOff>180975</xdr:rowOff>
    </xdr:to>
    <xdr:cxnSp macro="">
      <xdr:nvCxnSpPr>
        <xdr:cNvPr id="8" name="Straight Arrow Connector 3">
          <a:extLst>
            <a:ext uri="{FF2B5EF4-FFF2-40B4-BE49-F238E27FC236}">
              <a16:creationId xmlns:a16="http://schemas.microsoft.com/office/drawing/2014/main" id="{7B17900A-586A-492B-A92F-ADA58DAFC776}"/>
            </a:ext>
            <a:ext uri="{147F2762-F138-4A5C-976F-8EAC2B608ADB}">
              <a16:predDERef xmlns:a16="http://schemas.microsoft.com/office/drawing/2014/main" pred="{EB1373C5-F295-4AED-8EC3-56AD383D062E}"/>
            </a:ext>
          </a:extLst>
        </xdr:cNvPr>
        <xdr:cNvCxnSpPr>
          <a:cxnSpLocks/>
        </xdr:cNvCxnSpPr>
      </xdr:nvCxnSpPr>
      <xdr:spPr>
        <a:xfrm flipH="1" flipV="1">
          <a:off x="19459575" y="4143375"/>
          <a:ext cx="942975"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23</xdr:col>
      <xdr:colOff>381000</xdr:colOff>
      <xdr:row>19</xdr:row>
      <xdr:rowOff>76200</xdr:rowOff>
    </xdr:from>
    <xdr:to>
      <xdr:col>30</xdr:col>
      <xdr:colOff>85725</xdr:colOff>
      <xdr:row>24</xdr:row>
      <xdr:rowOff>104775</xdr:rowOff>
    </xdr:to>
    <xdr:sp macro="" textlink="">
      <xdr:nvSpPr>
        <xdr:cNvPr id="9" name="TextBox 2">
          <a:extLst>
            <a:ext uri="{FF2B5EF4-FFF2-40B4-BE49-F238E27FC236}">
              <a16:creationId xmlns:a16="http://schemas.microsoft.com/office/drawing/2014/main" id="{1AD2FC07-1FEF-46E5-ACE8-E6DAAECE3AEF}"/>
            </a:ext>
            <a:ext uri="{147F2762-F138-4A5C-976F-8EAC2B608ADB}">
              <a16:predDERef xmlns:a16="http://schemas.microsoft.com/office/drawing/2014/main" pred="{7B17900A-586A-492B-A92F-ADA58DAFC776}"/>
            </a:ext>
          </a:extLst>
        </xdr:cNvPr>
        <xdr:cNvSpPr txBox="1"/>
      </xdr:nvSpPr>
      <xdr:spPr>
        <a:xfrm>
          <a:off x="20412075" y="4124325"/>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23</xdr:col>
      <xdr:colOff>371475</xdr:colOff>
      <xdr:row>12</xdr:row>
      <xdr:rowOff>76200</xdr:rowOff>
    </xdr:from>
    <xdr:to>
      <xdr:col>30</xdr:col>
      <xdr:colOff>457200</xdr:colOff>
      <xdr:row>17</xdr:row>
      <xdr:rowOff>95250</xdr:rowOff>
    </xdr:to>
    <xdr:sp macro="" textlink="">
      <xdr:nvSpPr>
        <xdr:cNvPr id="10" name="TextBox 12">
          <a:extLst>
            <a:ext uri="{FF2B5EF4-FFF2-40B4-BE49-F238E27FC236}">
              <a16:creationId xmlns:a16="http://schemas.microsoft.com/office/drawing/2014/main" id="{87DDF917-BF98-42C2-9A7D-DC18B13F3BE9}"/>
            </a:ext>
            <a:ext uri="{147F2762-F138-4A5C-976F-8EAC2B608ADB}">
              <a16:predDERef xmlns:a16="http://schemas.microsoft.com/office/drawing/2014/main" pred="{1AD2FC07-1FEF-46E5-ACE8-E6DAAECE3AEF}"/>
            </a:ext>
          </a:extLst>
        </xdr:cNvPr>
        <xdr:cNvSpPr txBox="1"/>
      </xdr:nvSpPr>
      <xdr:spPr>
        <a:xfrm>
          <a:off x="20402550" y="2790825"/>
          <a:ext cx="43529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23</xdr:col>
      <xdr:colOff>419100</xdr:colOff>
      <xdr:row>73</xdr:row>
      <xdr:rowOff>28575</xdr:rowOff>
    </xdr:from>
    <xdr:to>
      <xdr:col>29</xdr:col>
      <xdr:colOff>247650</xdr:colOff>
      <xdr:row>78</xdr:row>
      <xdr:rowOff>0</xdr:rowOff>
    </xdr:to>
    <xdr:sp macro="" textlink="">
      <xdr:nvSpPr>
        <xdr:cNvPr id="11" name="TextBox 13">
          <a:extLst>
            <a:ext uri="{FF2B5EF4-FFF2-40B4-BE49-F238E27FC236}">
              <a16:creationId xmlns:a16="http://schemas.microsoft.com/office/drawing/2014/main" id="{49B6D4FF-9898-4C43-AC1E-EC4DE7073D31}"/>
            </a:ext>
            <a:ext uri="{147F2762-F138-4A5C-976F-8EAC2B608ADB}">
              <a16:predDERef xmlns:a16="http://schemas.microsoft.com/office/drawing/2014/main" pred="{87DDF917-BF98-42C2-9A7D-DC18B13F3BE9}"/>
            </a:ext>
          </a:extLst>
        </xdr:cNvPr>
        <xdr:cNvSpPr txBox="1"/>
      </xdr:nvSpPr>
      <xdr:spPr>
        <a:xfrm>
          <a:off x="20450175" y="14363700"/>
          <a:ext cx="348615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23</xdr:col>
      <xdr:colOff>428625</xdr:colOff>
      <xdr:row>78</xdr:row>
      <xdr:rowOff>47625</xdr:rowOff>
    </xdr:from>
    <xdr:to>
      <xdr:col>33</xdr:col>
      <xdr:colOff>9525</xdr:colOff>
      <xdr:row>84</xdr:row>
      <xdr:rowOff>142875</xdr:rowOff>
    </xdr:to>
    <xdr:sp macro="" textlink="">
      <xdr:nvSpPr>
        <xdr:cNvPr id="12" name="TextBox 14">
          <a:extLst>
            <a:ext uri="{FF2B5EF4-FFF2-40B4-BE49-F238E27FC236}">
              <a16:creationId xmlns:a16="http://schemas.microsoft.com/office/drawing/2014/main" id="{84078166-F3EF-42A2-92AF-0C009DD6DF1C}"/>
            </a:ext>
            <a:ext uri="{147F2762-F138-4A5C-976F-8EAC2B608ADB}">
              <a16:predDERef xmlns:a16="http://schemas.microsoft.com/office/drawing/2014/main" pred="{49B6D4FF-9898-4C43-AC1E-EC4DE7073D31}"/>
            </a:ext>
          </a:extLst>
        </xdr:cNvPr>
        <xdr:cNvSpPr txBox="1"/>
      </xdr:nvSpPr>
      <xdr:spPr>
        <a:xfrm>
          <a:off x="20459700" y="15335250"/>
          <a:ext cx="56769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twoCellAnchor editAs="oneCell">
    <xdr:from>
      <xdr:col>0</xdr:col>
      <xdr:colOff>76200</xdr:colOff>
      <xdr:row>0</xdr:row>
      <xdr:rowOff>0</xdr:rowOff>
    </xdr:from>
    <xdr:to>
      <xdr:col>1</xdr:col>
      <xdr:colOff>704850</xdr:colOff>
      <xdr:row>0</xdr:row>
      <xdr:rowOff>723900</xdr:rowOff>
    </xdr:to>
    <xdr:pic>
      <xdr:nvPicPr>
        <xdr:cNvPr id="26" name="Picture 10">
          <a:extLst>
            <a:ext uri="{FF2B5EF4-FFF2-40B4-BE49-F238E27FC236}">
              <a16:creationId xmlns:a16="http://schemas.microsoft.com/office/drawing/2014/main" id="{850FF08C-63F3-40D3-B58A-2E351D74AEFA}"/>
            </a:ext>
            <a:ext uri="{147F2762-F138-4A5C-976F-8EAC2B608ADB}">
              <a16:predDERef xmlns:a16="http://schemas.microsoft.com/office/drawing/2014/main" pred="{84078166-F3EF-42A2-92AF-0C009DD6DF1C}"/>
            </a:ext>
          </a:extLst>
        </xdr:cNvPr>
        <xdr:cNvPicPr>
          <a:picLocks noChangeAspect="1"/>
        </xdr:cNvPicPr>
      </xdr:nvPicPr>
      <xdr:blipFill>
        <a:blip xmlns:r="http://schemas.openxmlformats.org/officeDocument/2006/relationships" r:embed="rId1"/>
        <a:stretch>
          <a:fillRect/>
        </a:stretch>
      </xdr:blipFill>
      <xdr:spPr>
        <a:xfrm>
          <a:off x="76200" y="0"/>
          <a:ext cx="131445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58</xdr:col>
      <xdr:colOff>38100</xdr:colOff>
      <xdr:row>14</xdr:row>
      <xdr:rowOff>161925</xdr:rowOff>
    </xdr:from>
    <xdr:to>
      <xdr:col>59</xdr:col>
      <xdr:colOff>371475</xdr:colOff>
      <xdr:row>18</xdr:row>
      <xdr:rowOff>104775</xdr:rowOff>
    </xdr:to>
    <xdr:cxnSp macro="">
      <xdr:nvCxnSpPr>
        <xdr:cNvPr id="2" name="Straight Arrow Connector 3">
          <a:extLst>
            <a:ext uri="{FF2B5EF4-FFF2-40B4-BE49-F238E27FC236}">
              <a16:creationId xmlns:a16="http://schemas.microsoft.com/office/drawing/2014/main" id="{54157CA3-1DBF-43C0-A8DD-BFEF1F0576A3}"/>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2208DBF5-97FB-4570-BB07-143C716EC4F6}" end="{00000000-0000-0000-0000-000000000000}"/>
            </a:ext>
          </a:extLst>
        </xdr:cNvCxnSpPr>
      </xdr:nvCxnSpPr>
      <xdr:spPr>
        <a:xfrm flipH="1">
          <a:off x="40243125" y="3257550"/>
          <a:ext cx="942975" cy="7048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58</xdr:col>
      <xdr:colOff>44904</xdr:colOff>
      <xdr:row>75</xdr:row>
      <xdr:rowOff>145597</xdr:rowOff>
    </xdr:from>
    <xdr:to>
      <xdr:col>59</xdr:col>
      <xdr:colOff>349704</xdr:colOff>
      <xdr:row>77</xdr:row>
      <xdr:rowOff>104775</xdr:rowOff>
    </xdr:to>
    <xdr:cxnSp macro="">
      <xdr:nvCxnSpPr>
        <xdr:cNvPr id="3" name="Straight Arrow Connector 5">
          <a:extLst>
            <a:ext uri="{FF2B5EF4-FFF2-40B4-BE49-F238E27FC236}">
              <a16:creationId xmlns:a16="http://schemas.microsoft.com/office/drawing/2014/main" id="{50B6455E-82C4-4E35-8D68-9F70CD8AFB0B}"/>
            </a:ext>
            <a:ext uri="{147F2762-F138-4A5C-976F-8EAC2B608ADB}">
              <a16:predDERef xmlns:a16="http://schemas.microsoft.com/office/drawing/2014/main" pred="{54157CA3-1DBF-43C0-A8DD-BFEF1F0576A3}"/>
            </a:ext>
          </a:extLst>
        </xdr:cNvPr>
        <xdr:cNvCxnSpPr/>
      </xdr:nvCxnSpPr>
      <xdr:spPr>
        <a:xfrm flipH="1">
          <a:off x="40249929" y="14861722"/>
          <a:ext cx="914400" cy="340178"/>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58</xdr:col>
      <xdr:colOff>50347</xdr:colOff>
      <xdr:row>80</xdr:row>
      <xdr:rowOff>89807</xdr:rowOff>
    </xdr:from>
    <xdr:to>
      <xdr:col>59</xdr:col>
      <xdr:colOff>382361</xdr:colOff>
      <xdr:row>82</xdr:row>
      <xdr:rowOff>76200</xdr:rowOff>
    </xdr:to>
    <xdr:cxnSp macro="">
      <xdr:nvCxnSpPr>
        <xdr:cNvPr id="4" name="Straight Arrow Connector 7">
          <a:extLst>
            <a:ext uri="{FF2B5EF4-FFF2-40B4-BE49-F238E27FC236}">
              <a16:creationId xmlns:a16="http://schemas.microsoft.com/office/drawing/2014/main" id="{18037C7F-A43A-47B3-86D0-19B3B94B40F6}"/>
            </a:ext>
            <a:ext uri="{147F2762-F138-4A5C-976F-8EAC2B608ADB}">
              <a16:predDERef xmlns:a16="http://schemas.microsoft.com/office/drawing/2014/main" pred="{50B6455E-82C4-4E35-8D68-9F70CD8AFB0B}"/>
            </a:ext>
          </a:extLst>
        </xdr:cNvPr>
        <xdr:cNvCxnSpPr/>
      </xdr:nvCxnSpPr>
      <xdr:spPr>
        <a:xfrm flipH="1" flipV="1">
          <a:off x="40255372" y="15567932"/>
          <a:ext cx="941614" cy="367393"/>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0</xdr:row>
      <xdr:rowOff>9525</xdr:rowOff>
    </xdr:from>
    <xdr:to>
      <xdr:col>57</xdr:col>
      <xdr:colOff>895350</xdr:colOff>
      <xdr:row>0</xdr:row>
      <xdr:rowOff>800100</xdr:rowOff>
    </xdr:to>
    <xdr:sp macro="" textlink="">
      <xdr:nvSpPr>
        <xdr:cNvPr id="19" name="Rectangle 8">
          <a:extLst>
            <a:ext uri="{FF2B5EF4-FFF2-40B4-BE49-F238E27FC236}">
              <a16:creationId xmlns:a16="http://schemas.microsoft.com/office/drawing/2014/main" id="{33CF6932-2EED-4C58-A7F9-E9E17F6CC2B7}"/>
            </a:ext>
            <a:ext uri="{147F2762-F138-4A5C-976F-8EAC2B608ADB}">
              <a16:predDERef xmlns:a16="http://schemas.microsoft.com/office/drawing/2014/main" pred="{18037C7F-A43A-47B3-86D0-19B3B94B40F6}"/>
            </a:ext>
          </a:extLst>
        </xdr:cNvPr>
        <xdr:cNvSpPr/>
      </xdr:nvSpPr>
      <xdr:spPr>
        <a:xfrm>
          <a:off x="0" y="9525"/>
          <a:ext cx="20269200" cy="790575"/>
        </a:xfrm>
        <a:prstGeom prst="rect">
          <a:avLst/>
        </a:prstGeom>
        <a:solidFill>
          <a:srgbClr val="006298"/>
        </a:solidFill>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endParaRPr lang="en-US" sz="1100">
            <a:solidFill>
              <a:schemeClr val="lt1"/>
            </a:solidFill>
            <a:latin typeface="+mn-lt"/>
            <a:ea typeface="+mn-lt"/>
            <a:cs typeface="+mn-lt"/>
          </a:endParaRPr>
        </a:p>
      </xdr:txBody>
    </xdr:sp>
    <xdr:clientData/>
  </xdr:twoCellAnchor>
  <xdr:twoCellAnchor>
    <xdr:from>
      <xdr:col>10</xdr:col>
      <xdr:colOff>466725</xdr:colOff>
      <xdr:row>0</xdr:row>
      <xdr:rowOff>314325</xdr:rowOff>
    </xdr:from>
    <xdr:to>
      <xdr:col>46</xdr:col>
      <xdr:colOff>1095375</xdr:colOff>
      <xdr:row>1</xdr:row>
      <xdr:rowOff>47625</xdr:rowOff>
    </xdr:to>
    <xdr:sp macro="" textlink="">
      <xdr:nvSpPr>
        <xdr:cNvPr id="6" name="TextBox 9">
          <a:extLst>
            <a:ext uri="{FF2B5EF4-FFF2-40B4-BE49-F238E27FC236}">
              <a16:creationId xmlns:a16="http://schemas.microsoft.com/office/drawing/2014/main" id="{138D241A-EF67-4FC9-BCE0-AC2E3F823C36}"/>
            </a:ext>
            <a:ext uri="{147F2762-F138-4A5C-976F-8EAC2B608ADB}">
              <a16:predDERef xmlns:a16="http://schemas.microsoft.com/office/drawing/2014/main" pred="{33CF6932-2EED-4C58-A7F9-E9E17F6CC2B7}"/>
            </a:ext>
          </a:extLst>
        </xdr:cNvPr>
        <xdr:cNvSpPr txBox="1"/>
      </xdr:nvSpPr>
      <xdr:spPr>
        <a:xfrm>
          <a:off x="5029200" y="314325"/>
          <a:ext cx="8515350" cy="5715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 with ProForma </a:t>
          </a:r>
        </a:p>
      </xdr:txBody>
    </xdr:sp>
    <xdr:clientData/>
  </xdr:twoCellAnchor>
  <xdr:twoCellAnchor editAs="oneCell">
    <xdr:from>
      <xdr:col>0</xdr:col>
      <xdr:colOff>76200</xdr:colOff>
      <xdr:row>0</xdr:row>
      <xdr:rowOff>0</xdr:rowOff>
    </xdr:from>
    <xdr:to>
      <xdr:col>1</xdr:col>
      <xdr:colOff>552450</xdr:colOff>
      <xdr:row>0</xdr:row>
      <xdr:rowOff>809625</xdr:rowOff>
    </xdr:to>
    <xdr:pic>
      <xdr:nvPicPr>
        <xdr:cNvPr id="18" name="Picture 10">
          <a:extLst>
            <a:ext uri="{FF2B5EF4-FFF2-40B4-BE49-F238E27FC236}">
              <a16:creationId xmlns:a16="http://schemas.microsoft.com/office/drawing/2014/main" id="{AECEC7E0-F5F8-408D-8FD2-2CB826788736}"/>
            </a:ext>
            <a:ext uri="{147F2762-F138-4A5C-976F-8EAC2B608ADB}">
              <a16:predDERef xmlns:a16="http://schemas.microsoft.com/office/drawing/2014/main" pred="{138D241A-EF67-4FC9-BCE0-AC2E3F823C36}"/>
            </a:ext>
          </a:extLst>
        </xdr:cNvPr>
        <xdr:cNvPicPr>
          <a:picLocks noChangeAspect="1"/>
        </xdr:cNvPicPr>
      </xdr:nvPicPr>
      <xdr:blipFill>
        <a:blip xmlns:r="http://schemas.openxmlformats.org/officeDocument/2006/relationships" r:embed="rId1"/>
        <a:stretch>
          <a:fillRect/>
        </a:stretch>
      </xdr:blipFill>
      <xdr:spPr>
        <a:xfrm>
          <a:off x="76200" y="0"/>
          <a:ext cx="1143000" cy="809625"/>
        </a:xfrm>
        <a:prstGeom prst="rect">
          <a:avLst/>
        </a:prstGeom>
      </xdr:spPr>
    </xdr:pic>
    <xdr:clientData/>
  </xdr:twoCellAnchor>
  <xdr:twoCellAnchor>
    <xdr:from>
      <xdr:col>58</xdr:col>
      <xdr:colOff>66675</xdr:colOff>
      <xdr:row>19</xdr:row>
      <xdr:rowOff>76200</xdr:rowOff>
    </xdr:from>
    <xdr:to>
      <xdr:col>59</xdr:col>
      <xdr:colOff>400050</xdr:colOff>
      <xdr:row>21</xdr:row>
      <xdr:rowOff>161925</xdr:rowOff>
    </xdr:to>
    <xdr:cxnSp macro="">
      <xdr:nvCxnSpPr>
        <xdr:cNvPr id="8" name="Straight Arrow Connector 3">
          <a:extLst>
            <a:ext uri="{FF2B5EF4-FFF2-40B4-BE49-F238E27FC236}">
              <a16:creationId xmlns:a16="http://schemas.microsoft.com/office/drawing/2014/main" id="{BCEB7A94-D43E-4D7B-B015-A8E8D072A1C1}"/>
            </a:ext>
            <a:ext uri="{147F2762-F138-4A5C-976F-8EAC2B608ADB}">
              <a16:predDERef xmlns:a16="http://schemas.microsoft.com/office/drawing/2014/main" pred="{AECEC7E0-F5F8-408D-8FD2-2CB826788736}"/>
            </a:ext>
          </a:extLst>
        </xdr:cNvPr>
        <xdr:cNvCxnSpPr>
          <a:cxnSpLocks/>
        </xdr:cNvCxnSpPr>
      </xdr:nvCxnSpPr>
      <xdr:spPr>
        <a:xfrm flipH="1" flipV="1">
          <a:off x="40271700" y="4124325"/>
          <a:ext cx="942975" cy="46672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59</xdr:col>
      <xdr:colOff>400050</xdr:colOff>
      <xdr:row>19</xdr:row>
      <xdr:rowOff>47625</xdr:rowOff>
    </xdr:from>
    <xdr:to>
      <xdr:col>66</xdr:col>
      <xdr:colOff>104775</xdr:colOff>
      <xdr:row>24</xdr:row>
      <xdr:rowOff>76200</xdr:rowOff>
    </xdr:to>
    <xdr:sp macro="" textlink="">
      <xdr:nvSpPr>
        <xdr:cNvPr id="9" name="TextBox 2">
          <a:extLst>
            <a:ext uri="{FF2B5EF4-FFF2-40B4-BE49-F238E27FC236}">
              <a16:creationId xmlns:a16="http://schemas.microsoft.com/office/drawing/2014/main" id="{20012F23-D599-41BE-AB55-CA2073FDC26C}"/>
            </a:ext>
            <a:ext uri="{147F2762-F138-4A5C-976F-8EAC2B608ADB}">
              <a16:predDERef xmlns:a16="http://schemas.microsoft.com/office/drawing/2014/main" pred="{BCEB7A94-D43E-4D7B-B015-A8E8D072A1C1}"/>
            </a:ext>
          </a:extLst>
        </xdr:cNvPr>
        <xdr:cNvSpPr txBox="1"/>
      </xdr:nvSpPr>
      <xdr:spPr>
        <a:xfrm>
          <a:off x="41214675" y="4095750"/>
          <a:ext cx="3971925"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59</xdr:col>
      <xdr:colOff>381000</xdr:colOff>
      <xdr:row>12</xdr:row>
      <xdr:rowOff>114300</xdr:rowOff>
    </xdr:from>
    <xdr:to>
      <xdr:col>66</xdr:col>
      <xdr:colOff>466725</xdr:colOff>
      <xdr:row>17</xdr:row>
      <xdr:rowOff>133350</xdr:rowOff>
    </xdr:to>
    <xdr:sp macro="" textlink="">
      <xdr:nvSpPr>
        <xdr:cNvPr id="10" name="TextBox 12">
          <a:extLst>
            <a:ext uri="{FF2B5EF4-FFF2-40B4-BE49-F238E27FC236}">
              <a16:creationId xmlns:a16="http://schemas.microsoft.com/office/drawing/2014/main" id="{0478306E-EC90-429F-A724-22FEA083FCA9}"/>
            </a:ext>
            <a:ext uri="{147F2762-F138-4A5C-976F-8EAC2B608ADB}">
              <a16:predDERef xmlns:a16="http://schemas.microsoft.com/office/drawing/2014/main" pred="{20012F23-D599-41BE-AB55-CA2073FDC26C}"/>
            </a:ext>
          </a:extLst>
        </xdr:cNvPr>
        <xdr:cNvSpPr txBox="1"/>
      </xdr:nvSpPr>
      <xdr:spPr>
        <a:xfrm>
          <a:off x="41195625" y="2828925"/>
          <a:ext cx="43529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59</xdr:col>
      <xdr:colOff>361950</xdr:colOff>
      <xdr:row>73</xdr:row>
      <xdr:rowOff>57150</xdr:rowOff>
    </xdr:from>
    <xdr:to>
      <xdr:col>65</xdr:col>
      <xdr:colOff>190500</xdr:colOff>
      <xdr:row>78</xdr:row>
      <xdr:rowOff>28575</xdr:rowOff>
    </xdr:to>
    <xdr:sp macro="" textlink="">
      <xdr:nvSpPr>
        <xdr:cNvPr id="11" name="TextBox 13">
          <a:extLst>
            <a:ext uri="{FF2B5EF4-FFF2-40B4-BE49-F238E27FC236}">
              <a16:creationId xmlns:a16="http://schemas.microsoft.com/office/drawing/2014/main" id="{84169659-A158-42D5-BE7C-0A2A1DF5C5B9}"/>
            </a:ext>
            <a:ext uri="{147F2762-F138-4A5C-976F-8EAC2B608ADB}">
              <a16:predDERef xmlns:a16="http://schemas.microsoft.com/office/drawing/2014/main" pred="{0478306E-EC90-429F-A724-22FEA083FCA9}"/>
            </a:ext>
          </a:extLst>
        </xdr:cNvPr>
        <xdr:cNvSpPr txBox="1"/>
      </xdr:nvSpPr>
      <xdr:spPr>
        <a:xfrm>
          <a:off x="41176575" y="14392275"/>
          <a:ext cx="3486150"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59</xdr:col>
      <xdr:colOff>371475</xdr:colOff>
      <xdr:row>78</xdr:row>
      <xdr:rowOff>114300</xdr:rowOff>
    </xdr:from>
    <xdr:to>
      <xdr:col>68</xdr:col>
      <xdr:colOff>561975</xdr:colOff>
      <xdr:row>85</xdr:row>
      <xdr:rowOff>19050</xdr:rowOff>
    </xdr:to>
    <xdr:sp macro="" textlink="">
      <xdr:nvSpPr>
        <xdr:cNvPr id="12" name="TextBox 14">
          <a:extLst>
            <a:ext uri="{FF2B5EF4-FFF2-40B4-BE49-F238E27FC236}">
              <a16:creationId xmlns:a16="http://schemas.microsoft.com/office/drawing/2014/main" id="{CC7A5A82-FCE4-4B6B-9157-86F2576CABB3}"/>
            </a:ext>
            <a:ext uri="{147F2762-F138-4A5C-976F-8EAC2B608ADB}">
              <a16:predDERef xmlns:a16="http://schemas.microsoft.com/office/drawing/2014/main" pred="{84169659-A158-42D5-BE7C-0A2A1DF5C5B9}"/>
            </a:ext>
          </a:extLst>
        </xdr:cNvPr>
        <xdr:cNvSpPr txBox="1"/>
      </xdr:nvSpPr>
      <xdr:spPr>
        <a:xfrm>
          <a:off x="41186100" y="15401925"/>
          <a:ext cx="567690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54</xdr:col>
      <xdr:colOff>85725</xdr:colOff>
      <xdr:row>18</xdr:row>
      <xdr:rowOff>28575</xdr:rowOff>
    </xdr:from>
    <xdr:to>
      <xdr:col>59</xdr:col>
      <xdr:colOff>342900</xdr:colOff>
      <xdr:row>22</xdr:row>
      <xdr:rowOff>95250</xdr:rowOff>
    </xdr:to>
    <xdr:cxnSp macro="">
      <xdr:nvCxnSpPr>
        <xdr:cNvPr id="2" name="Straight Arrow Connector 3">
          <a:extLst>
            <a:ext uri="{FF2B5EF4-FFF2-40B4-BE49-F238E27FC236}">
              <a16:creationId xmlns:a16="http://schemas.microsoft.com/office/drawing/2014/main" id="{FB3F726E-FA64-4CF2-AF0C-D6850CF1EFA9}"/>
            </a:ext>
            <a:ext uri="{147F2762-F138-4A5C-976F-8EAC2B608ADB}">
              <a16:predDERef xmlns:a16="http://schemas.microsoft.com/office/drawing/2014/main" pred="{2208DBF5-97FB-4570-BB07-143C716EC4F6}"/>
            </a:ext>
          </a:extLst>
        </xdr:cNvPr>
        <xdr:cNvCxnSpPr>
          <a:cxnSpLocks/>
          <a:extLst>
            <a:ext uri="{5F17804C-33F3-41E3-A699-7DCFA2EF7971}">
              <a16:cxnDERefs xmlns:a16="http://schemas.microsoft.com/office/drawing/2014/main" st="{0A01943E-95D7-4AE9-A033-7776804DD823}" end="{00000000-0000-0000-0000-000000000000}"/>
            </a:ext>
          </a:extLst>
        </xdr:cNvCxnSpPr>
      </xdr:nvCxnSpPr>
      <xdr:spPr>
        <a:xfrm flipH="1">
          <a:off x="33004125" y="3457575"/>
          <a:ext cx="3305175" cy="82867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54</xdr:col>
      <xdr:colOff>19050</xdr:colOff>
      <xdr:row>93</xdr:row>
      <xdr:rowOff>47625</xdr:rowOff>
    </xdr:from>
    <xdr:to>
      <xdr:col>55</xdr:col>
      <xdr:colOff>1162050</xdr:colOff>
      <xdr:row>95</xdr:row>
      <xdr:rowOff>95250</xdr:rowOff>
    </xdr:to>
    <xdr:cxnSp macro="">
      <xdr:nvCxnSpPr>
        <xdr:cNvPr id="3" name="Straight Arrow Connector 5">
          <a:extLst>
            <a:ext uri="{FF2B5EF4-FFF2-40B4-BE49-F238E27FC236}">
              <a16:creationId xmlns:a16="http://schemas.microsoft.com/office/drawing/2014/main" id="{2A323AA0-1A57-4020-9F95-0B5C854A95DA}"/>
            </a:ext>
            <a:ext uri="{147F2762-F138-4A5C-976F-8EAC2B608ADB}">
              <a16:predDERef xmlns:a16="http://schemas.microsoft.com/office/drawing/2014/main" pred="{FB3F726E-FA64-4CF2-AF0C-D6850CF1EFA9}"/>
            </a:ext>
          </a:extLst>
        </xdr:cNvPr>
        <xdr:cNvCxnSpPr>
          <a:cxnSpLocks/>
        </xdr:cNvCxnSpPr>
      </xdr:nvCxnSpPr>
      <xdr:spPr>
        <a:xfrm flipH="1">
          <a:off x="16659225" y="15706725"/>
          <a:ext cx="2352675" cy="409575"/>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54</xdr:col>
      <xdr:colOff>19050</xdr:colOff>
      <xdr:row>96</xdr:row>
      <xdr:rowOff>123825</xdr:rowOff>
    </xdr:from>
    <xdr:to>
      <xdr:col>58</xdr:col>
      <xdr:colOff>19050</xdr:colOff>
      <xdr:row>106</xdr:row>
      <xdr:rowOff>123825</xdr:rowOff>
    </xdr:to>
    <xdr:cxnSp macro="">
      <xdr:nvCxnSpPr>
        <xdr:cNvPr id="4" name="Straight Arrow Connector 7">
          <a:extLst>
            <a:ext uri="{FF2B5EF4-FFF2-40B4-BE49-F238E27FC236}">
              <a16:creationId xmlns:a16="http://schemas.microsoft.com/office/drawing/2014/main" id="{42F353D0-ECDA-4358-87DE-D7900B0548A2}"/>
            </a:ext>
            <a:ext uri="{147F2762-F138-4A5C-976F-8EAC2B608ADB}">
              <a16:predDERef xmlns:a16="http://schemas.microsoft.com/office/drawing/2014/main" pred="{2A323AA0-1A57-4020-9F95-0B5C854A95DA}"/>
            </a:ext>
          </a:extLst>
        </xdr:cNvPr>
        <xdr:cNvCxnSpPr>
          <a:cxnSpLocks/>
        </xdr:cNvCxnSpPr>
      </xdr:nvCxnSpPr>
      <xdr:spPr>
        <a:xfrm flipH="1" flipV="1">
          <a:off x="16659225" y="16325850"/>
          <a:ext cx="2381250" cy="14859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275103</xdr:colOff>
      <xdr:row>0</xdr:row>
      <xdr:rowOff>375397</xdr:rowOff>
    </xdr:from>
    <xdr:to>
      <xdr:col>51</xdr:col>
      <xdr:colOff>632571</xdr:colOff>
      <xdr:row>1</xdr:row>
      <xdr:rowOff>74519</xdr:rowOff>
    </xdr:to>
    <xdr:sp macro="" textlink="">
      <xdr:nvSpPr>
        <xdr:cNvPr id="6" name="TextBox 9">
          <a:extLst>
            <a:ext uri="{FF2B5EF4-FFF2-40B4-BE49-F238E27FC236}">
              <a16:creationId xmlns:a16="http://schemas.microsoft.com/office/drawing/2014/main" id="{319650BA-D42A-4C32-805C-A4A8C4715B67}"/>
            </a:ext>
            <a:ext uri="{147F2762-F138-4A5C-976F-8EAC2B608ADB}">
              <a16:predDERef xmlns:a16="http://schemas.microsoft.com/office/drawing/2014/main" pred="{42F353D0-ECDA-4358-87DE-D7900B0548A2}"/>
            </a:ext>
          </a:extLst>
        </xdr:cNvPr>
        <xdr:cNvSpPr txBox="1"/>
      </xdr:nvSpPr>
      <xdr:spPr>
        <a:xfrm>
          <a:off x="3808878" y="375397"/>
          <a:ext cx="10006293" cy="527797"/>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2400" b="0" i="0">
              <a:solidFill>
                <a:schemeClr val="bg1"/>
              </a:solidFill>
              <a:latin typeface="Arial" panose="020B0604020202020204" pitchFamily="34" charset="0"/>
              <a:cs typeface="Arial" panose="020B0604020202020204" pitchFamily="34" charset="0"/>
            </a:rPr>
            <a:t>RUB A DUB HOT TUB - TTM P</a:t>
          </a:r>
          <a:r>
            <a:rPr lang="en-US" sz="2400" b="0" i="0" u="none" strike="noStrike">
              <a:solidFill>
                <a:schemeClr val="bg1"/>
              </a:solidFill>
              <a:latin typeface="Arial" panose="020B0604020202020204" pitchFamily="34" charset="0"/>
              <a:cs typeface="Arial" panose="020B0604020202020204" pitchFamily="34" charset="0"/>
            </a:rPr>
            <a:t>rofit and Loss with ProForma </a:t>
          </a:r>
        </a:p>
      </xdr:txBody>
    </xdr:sp>
    <xdr:clientData/>
  </xdr:twoCellAnchor>
  <xdr:oneCellAnchor>
    <xdr:from>
      <xdr:col>0</xdr:col>
      <xdr:colOff>0</xdr:colOff>
      <xdr:row>0</xdr:row>
      <xdr:rowOff>0</xdr:rowOff>
    </xdr:from>
    <xdr:ext cx="1148603" cy="806824"/>
    <xdr:pic>
      <xdr:nvPicPr>
        <xdr:cNvPr id="7" name="Picture 10">
          <a:extLst>
            <a:ext uri="{FF2B5EF4-FFF2-40B4-BE49-F238E27FC236}">
              <a16:creationId xmlns:a16="http://schemas.microsoft.com/office/drawing/2014/main" id="{E38AD8ED-4B8D-4001-B64C-C75F6276B72B}"/>
            </a:ext>
            <a:ext uri="{147F2762-F138-4A5C-976F-8EAC2B608ADB}">
              <a16:predDERef xmlns:a16="http://schemas.microsoft.com/office/drawing/2014/main" pred="{319650BA-D42A-4C32-805C-A4A8C4715B67}"/>
            </a:ext>
          </a:extLst>
        </xdr:cNvPr>
        <xdr:cNvPicPr>
          <a:picLocks noChangeAspect="1"/>
        </xdr:cNvPicPr>
      </xdr:nvPicPr>
      <xdr:blipFill>
        <a:blip xmlns:r="http://schemas.openxmlformats.org/officeDocument/2006/relationships" r:embed="rId1"/>
        <a:stretch>
          <a:fillRect/>
        </a:stretch>
      </xdr:blipFill>
      <xdr:spPr>
        <a:xfrm>
          <a:off x="0" y="0"/>
          <a:ext cx="1148603" cy="806824"/>
        </a:xfrm>
        <a:prstGeom prst="rect">
          <a:avLst/>
        </a:prstGeom>
      </xdr:spPr>
    </xdr:pic>
    <xdr:clientData/>
  </xdr:oneCellAnchor>
  <xdr:twoCellAnchor>
    <xdr:from>
      <xdr:col>54</xdr:col>
      <xdr:colOff>85725</xdr:colOff>
      <xdr:row>23</xdr:row>
      <xdr:rowOff>95250</xdr:rowOff>
    </xdr:from>
    <xdr:to>
      <xdr:col>59</xdr:col>
      <xdr:colOff>66675</xdr:colOff>
      <xdr:row>26</xdr:row>
      <xdr:rowOff>76200</xdr:rowOff>
    </xdr:to>
    <xdr:cxnSp macro="">
      <xdr:nvCxnSpPr>
        <xdr:cNvPr id="8" name="Straight Arrow Connector 3">
          <a:extLst>
            <a:ext uri="{FF2B5EF4-FFF2-40B4-BE49-F238E27FC236}">
              <a16:creationId xmlns:a16="http://schemas.microsoft.com/office/drawing/2014/main" id="{48EE87EB-4501-4ADC-84C6-0E63AF318CD3}"/>
            </a:ext>
            <a:ext uri="{147F2762-F138-4A5C-976F-8EAC2B608ADB}">
              <a16:predDERef xmlns:a16="http://schemas.microsoft.com/office/drawing/2014/main" pred="{B4BF796C-D278-4FCC-8013-E6821374808D}"/>
            </a:ext>
          </a:extLst>
        </xdr:cNvPr>
        <xdr:cNvCxnSpPr>
          <a:cxnSpLocks/>
        </xdr:cNvCxnSpPr>
      </xdr:nvCxnSpPr>
      <xdr:spPr>
        <a:xfrm flipH="1" flipV="1">
          <a:off x="33004125" y="4476750"/>
          <a:ext cx="3028950" cy="552450"/>
        </a:xfrm>
        <a:prstGeom prst="straightConnector1">
          <a:avLst/>
        </a:prstGeom>
        <a:ln>
          <a:solidFill>
            <a:srgbClr val="0070BF"/>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56</xdr:col>
      <xdr:colOff>0</xdr:colOff>
      <xdr:row>23</xdr:row>
      <xdr:rowOff>0</xdr:rowOff>
    </xdr:from>
    <xdr:to>
      <xdr:col>64</xdr:col>
      <xdr:colOff>123825</xdr:colOff>
      <xdr:row>29</xdr:row>
      <xdr:rowOff>0</xdr:rowOff>
    </xdr:to>
    <xdr:sp macro="" textlink="">
      <xdr:nvSpPr>
        <xdr:cNvPr id="9" name="TextBox 2">
          <a:extLst>
            <a:ext uri="{FF2B5EF4-FFF2-40B4-BE49-F238E27FC236}">
              <a16:creationId xmlns:a16="http://schemas.microsoft.com/office/drawing/2014/main" id="{FA39FDDA-F8C0-4FC9-B085-4118A452DF14}"/>
            </a:ext>
            <a:ext uri="{147F2762-F138-4A5C-976F-8EAC2B608ADB}">
              <a16:predDERef xmlns:a16="http://schemas.microsoft.com/office/drawing/2014/main" pred="{48EE87EB-4501-4ADC-84C6-0E63AF318CD3}"/>
            </a:ext>
          </a:extLst>
        </xdr:cNvPr>
        <xdr:cNvSpPr txBox="1"/>
      </xdr:nvSpPr>
      <xdr:spPr>
        <a:xfrm>
          <a:off x="19021425" y="4448175"/>
          <a:ext cx="4029075"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US" sz="2400">
              <a:solidFill>
                <a:schemeClr val="dk1"/>
              </a:solidFill>
              <a:latin typeface="Arial" panose="020B0604020202020204" pitchFamily="34" charset="0"/>
              <a:cs typeface="Arial" panose="020B0604020202020204" pitchFamily="34" charset="0"/>
            </a:rPr>
            <a:t>Gross Margin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a:solidFill>
                <a:schemeClr val="dk1"/>
              </a:solidFill>
              <a:latin typeface="Arial" panose="020B0604020202020204" pitchFamily="34" charset="0"/>
              <a:cs typeface="Arial" panose="020B0604020202020204" pitchFamily="34" charset="0"/>
            </a:rPr>
            <a:t> / Total Revenue) * 100 </a:t>
          </a:r>
        </a:p>
      </xdr:txBody>
    </xdr:sp>
    <xdr:clientData/>
  </xdr:twoCellAnchor>
  <xdr:twoCellAnchor>
    <xdr:from>
      <xdr:col>56</xdr:col>
      <xdr:colOff>0</xdr:colOff>
      <xdr:row>16</xdr:row>
      <xdr:rowOff>9525</xdr:rowOff>
    </xdr:from>
    <xdr:to>
      <xdr:col>64</xdr:col>
      <xdr:colOff>504825</xdr:colOff>
      <xdr:row>21</xdr:row>
      <xdr:rowOff>28575</xdr:rowOff>
    </xdr:to>
    <xdr:sp macro="" textlink="">
      <xdr:nvSpPr>
        <xdr:cNvPr id="10" name="TextBox 12">
          <a:extLst>
            <a:ext uri="{FF2B5EF4-FFF2-40B4-BE49-F238E27FC236}">
              <a16:creationId xmlns:a16="http://schemas.microsoft.com/office/drawing/2014/main" id="{ACD0BF7C-EB8F-4DCF-B04D-1140BAA46B51}"/>
            </a:ext>
            <a:ext uri="{147F2762-F138-4A5C-976F-8EAC2B608ADB}">
              <a16:predDERef xmlns:a16="http://schemas.microsoft.com/office/drawing/2014/main" pred="{FA39FDDA-F8C0-4FC9-B085-4118A452DF14}"/>
            </a:ext>
          </a:extLst>
        </xdr:cNvPr>
        <xdr:cNvSpPr txBox="1"/>
      </xdr:nvSpPr>
      <xdr:spPr>
        <a:xfrm>
          <a:off x="19021425" y="3190875"/>
          <a:ext cx="441007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Gross </a:t>
          </a:r>
          <a:r>
            <a:rPr lang="en-US" sz="2400" b="0" i="0" u="none" strike="noStrike">
              <a:solidFill>
                <a:schemeClr val="dk1"/>
              </a:solidFill>
              <a:latin typeface="Arial" panose="020B0604020202020204" pitchFamily="34" charset="0"/>
              <a:cs typeface="Arial" panose="020B0604020202020204" pitchFamily="34" charset="0"/>
            </a:rPr>
            <a:t>Profit</a:t>
          </a:r>
          <a:r>
            <a:rPr lang="en-US" sz="2400">
              <a:solidFill>
                <a:schemeClr val="dk1"/>
              </a:solidFill>
              <a:latin typeface="Arial" panose="020B0604020202020204" pitchFamily="34" charset="0"/>
              <a:cs typeface="Arial" panose="020B0604020202020204" pitchFamily="34" charset="0"/>
            </a:rPr>
            <a: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Total Sales - Total Cost of Goods Sold</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56</xdr:col>
      <xdr:colOff>0</xdr:colOff>
      <xdr:row>91</xdr:row>
      <xdr:rowOff>19050</xdr:rowOff>
    </xdr:from>
    <xdr:to>
      <xdr:col>63</xdr:col>
      <xdr:colOff>247650</xdr:colOff>
      <xdr:row>95</xdr:row>
      <xdr:rowOff>171450</xdr:rowOff>
    </xdr:to>
    <xdr:sp macro="" textlink="">
      <xdr:nvSpPr>
        <xdr:cNvPr id="11" name="TextBox 13">
          <a:extLst>
            <a:ext uri="{FF2B5EF4-FFF2-40B4-BE49-F238E27FC236}">
              <a16:creationId xmlns:a16="http://schemas.microsoft.com/office/drawing/2014/main" id="{6AFFD094-1035-431B-A775-217AFF798FA8}"/>
            </a:ext>
            <a:ext uri="{147F2762-F138-4A5C-976F-8EAC2B608ADB}">
              <a16:predDERef xmlns:a16="http://schemas.microsoft.com/office/drawing/2014/main" pred="{ACD0BF7C-EB8F-4DCF-B04D-1140BAA46B51}"/>
            </a:ext>
          </a:extLst>
        </xdr:cNvPr>
        <xdr:cNvSpPr txBox="1"/>
      </xdr:nvSpPr>
      <xdr:spPr>
        <a:xfrm>
          <a:off x="19021425" y="15401925"/>
          <a:ext cx="3486150"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a:solidFill>
                <a:schemeClr val="dk1"/>
              </a:solidFill>
              <a:latin typeface="Arial" panose="020B0604020202020204" pitchFamily="34" charset="0"/>
              <a:cs typeface="Arial" panose="020B0604020202020204" pitchFamily="34" charset="0"/>
            </a:rPr>
            <a:t>Net Profit 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u="none" strike="noStrike">
              <a:solidFill>
                <a:schemeClr val="dk1"/>
              </a:solidFill>
              <a:latin typeface="Arial" panose="020B0604020202020204" pitchFamily="34" charset="0"/>
              <a:cs typeface="Arial" panose="020B0604020202020204" pitchFamily="34" charset="0"/>
            </a:rPr>
            <a:t>Gross Profit</a:t>
          </a:r>
          <a:r>
            <a:rPr lang="en-US" sz="1800" b="0" i="0" u="none" strike="noStrike">
              <a:solidFill>
                <a:schemeClr val="dk1"/>
              </a:solidFill>
              <a:latin typeface="Arial" panose="020B0604020202020204" pitchFamily="34" charset="0"/>
              <a:cs typeface="Arial" panose="020B0604020202020204" pitchFamily="34" charset="0"/>
            </a:rPr>
            <a:t> - Total Expenses)</a:t>
          </a:r>
          <a:r>
            <a:rPr lang="en-US" sz="1800">
              <a:solidFill>
                <a:schemeClr val="dk1"/>
              </a:solidFill>
              <a:latin typeface="Arial" panose="020B0604020202020204" pitchFamily="34" charset="0"/>
              <a:cs typeface="Arial" panose="020B0604020202020204" pitchFamily="34" charset="0"/>
            </a:rPr>
            <a:t> </a:t>
          </a:r>
        </a:p>
      </xdr:txBody>
    </xdr:sp>
    <xdr:clientData/>
  </xdr:twoCellAnchor>
  <xdr:twoCellAnchor>
    <xdr:from>
      <xdr:col>56</xdr:col>
      <xdr:colOff>0</xdr:colOff>
      <xdr:row>102</xdr:row>
      <xdr:rowOff>0</xdr:rowOff>
    </xdr:from>
    <xdr:to>
      <xdr:col>67</xdr:col>
      <xdr:colOff>0</xdr:colOff>
      <xdr:row>111</xdr:row>
      <xdr:rowOff>104775</xdr:rowOff>
    </xdr:to>
    <xdr:sp macro="" textlink="">
      <xdr:nvSpPr>
        <xdr:cNvPr id="12" name="TextBox 14">
          <a:extLst>
            <a:ext uri="{FF2B5EF4-FFF2-40B4-BE49-F238E27FC236}">
              <a16:creationId xmlns:a16="http://schemas.microsoft.com/office/drawing/2014/main" id="{E8220B07-2C95-435A-85FD-A5616DEF46D1}"/>
            </a:ext>
            <a:ext uri="{147F2762-F138-4A5C-976F-8EAC2B608ADB}">
              <a16:predDERef xmlns:a16="http://schemas.microsoft.com/office/drawing/2014/main" pred="{6AFFD094-1035-431B-A775-217AFF798FA8}"/>
            </a:ext>
          </a:extLst>
        </xdr:cNvPr>
        <xdr:cNvSpPr txBox="1"/>
      </xdr:nvSpPr>
      <xdr:spPr>
        <a:xfrm>
          <a:off x="19021425" y="16944975"/>
          <a:ext cx="5734050" cy="175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indent="0" algn="ctr"/>
          <a:r>
            <a:rPr lang="en-US" sz="2400" b="0" i="0" u="none" strike="noStrike">
              <a:solidFill>
                <a:schemeClr val="dk1"/>
              </a:solidFill>
              <a:latin typeface="Arial" panose="020B0604020202020204" pitchFamily="34" charset="0"/>
              <a:cs typeface="Arial" panose="020B0604020202020204" pitchFamily="34" charset="0"/>
            </a:rPr>
            <a:t>Net Profit</a:t>
          </a:r>
          <a:r>
            <a:rPr lang="en-US" sz="2400">
              <a:solidFill>
                <a:schemeClr val="dk1"/>
              </a:solidFill>
              <a:latin typeface="Arial" panose="020B0604020202020204" pitchFamily="34" charset="0"/>
              <a:cs typeface="Arial" panose="020B0604020202020204" pitchFamily="34" charset="0"/>
            </a:rPr>
            <a:t> Margin </a:t>
          </a:r>
          <a:r>
            <a:rPr lang="en-US" sz="2400" b="0" i="0" u="none" strike="noStrike">
              <a:solidFill>
                <a:schemeClr val="dk1"/>
              </a:solidFill>
              <a:latin typeface="Arial" panose="020B0604020202020204" pitchFamily="34" charset="0"/>
              <a:cs typeface="Arial" panose="020B0604020202020204" pitchFamily="34" charset="0"/>
            </a:rPr>
            <a:t>Percentage </a:t>
          </a:r>
          <a:r>
            <a:rPr lang="en-US" sz="2400">
              <a:solidFill>
                <a:schemeClr val="dk1"/>
              </a:solidFill>
              <a:latin typeface="Arial" panose="020B0604020202020204" pitchFamily="34" charset="0"/>
              <a:cs typeface="Arial" panose="020B0604020202020204" pitchFamily="34" charset="0"/>
            </a:rPr>
            <a:t>formula is:</a:t>
          </a:r>
          <a:endParaRPr lang="en-US" sz="1800">
            <a:solidFill>
              <a:schemeClr val="dk1"/>
            </a:solidFill>
            <a:latin typeface="Arial" panose="020B0604020202020204" pitchFamily="34" charset="0"/>
            <a:cs typeface="Arial" panose="020B0604020202020204" pitchFamily="34" charset="0"/>
          </a:endParaRPr>
        </a:p>
        <a:p>
          <a:pPr marL="0" indent="0" algn="ctr"/>
          <a:r>
            <a:rPr lang="en-US" sz="1800">
              <a:solidFill>
                <a:schemeClr val="dk1"/>
              </a:solidFill>
              <a:latin typeface="Arial" panose="020B0604020202020204" pitchFamily="34" charset="0"/>
              <a:cs typeface="Arial" panose="020B0604020202020204" pitchFamily="34" charset="0"/>
            </a:rPr>
            <a:t> (</a:t>
          </a:r>
          <a:r>
            <a:rPr lang="en-US" sz="1800" b="0" i="0" u="none" strike="noStrike">
              <a:solidFill>
                <a:schemeClr val="dk1"/>
              </a:solidFill>
              <a:latin typeface="Arial" panose="020B0604020202020204" pitchFamily="34" charset="0"/>
              <a:cs typeface="Arial" panose="020B0604020202020204" pitchFamily="34" charset="0"/>
            </a:rPr>
            <a:t>Net</a:t>
          </a:r>
          <a:r>
            <a:rPr lang="en-US" sz="1800" u="none" strike="noStrike">
              <a:solidFill>
                <a:schemeClr val="dk1"/>
              </a:solidFill>
              <a:latin typeface="Arial" panose="020B0604020202020204" pitchFamily="34" charset="0"/>
              <a:cs typeface="Arial" panose="020B0604020202020204" pitchFamily="34" charset="0"/>
            </a:rPr>
            <a:t> Profit</a:t>
          </a:r>
          <a:r>
            <a:rPr lang="en-US" sz="1800">
              <a:solidFill>
                <a:schemeClr val="dk1"/>
              </a:solidFill>
              <a:latin typeface="Arial" panose="020B0604020202020204" pitchFamily="34" charset="0"/>
              <a:cs typeface="Arial" panose="020B0604020202020204" pitchFamily="34" charset="0"/>
            </a:rPr>
            <a:t> / Total </a:t>
          </a:r>
          <a:r>
            <a:rPr lang="en-US" sz="1800" b="0" i="0" u="none" strike="noStrike">
              <a:solidFill>
                <a:schemeClr val="dk1"/>
              </a:solidFill>
              <a:latin typeface="Arial" panose="020B0604020202020204" pitchFamily="34" charset="0"/>
              <a:cs typeface="Arial" panose="020B0604020202020204" pitchFamily="34" charset="0"/>
            </a:rPr>
            <a:t>Sales</a:t>
          </a:r>
          <a:r>
            <a:rPr lang="en-US" sz="1800">
              <a:solidFill>
                <a:schemeClr val="dk1"/>
              </a:solidFill>
              <a:latin typeface="Arial" panose="020B0604020202020204" pitchFamily="34" charset="0"/>
              <a:cs typeface="Arial" panose="020B0604020202020204" pitchFamily="34" charset="0"/>
            </a:rPr>
            <a:t>) * 100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590550</xdr:colOff>
      <xdr:row>0</xdr:row>
      <xdr:rowOff>790575</xdr:rowOff>
    </xdr:to>
    <xdr:sp macro="" textlink="">
      <xdr:nvSpPr>
        <xdr:cNvPr id="2" name="Rectangle 1">
          <a:extLst>
            <a:ext uri="{FF2B5EF4-FFF2-40B4-BE49-F238E27FC236}">
              <a16:creationId xmlns:a16="http://schemas.microsoft.com/office/drawing/2014/main" id="{82FB7452-5C99-4DE7-A8BD-35CFD3815488}"/>
            </a:ext>
            <a:ext uri="{147F2762-F138-4A5C-976F-8EAC2B608ADB}">
              <a16:predDERef xmlns:a16="http://schemas.microsoft.com/office/drawing/2014/main" pred="{F90B9917-06BA-4F73-BDBD-298224D15BD9}"/>
            </a:ext>
          </a:extLst>
        </xdr:cNvPr>
        <xdr:cNvSpPr/>
      </xdr:nvSpPr>
      <xdr:spPr>
        <a:xfrm>
          <a:off x="0" y="0"/>
          <a:ext cx="14135100" cy="790575"/>
        </a:xfrm>
        <a:prstGeom prst="rect">
          <a:avLst/>
        </a:prstGeom>
        <a:solidFill>
          <a:srgbClr val="0062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spcFirstLastPara="0" wrap="square" lIns="91440" tIns="45720" rIns="91440" bIns="45720" rtlCol="0" anchor="t">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endParaRPr lang="en-US" sz="1100" b="0" i="0" u="none" strike="noStrike">
            <a:solidFill>
              <a:schemeClr val="lt1"/>
            </a:solidFill>
            <a:latin typeface="Aptos Narrow" panose="020B0004020202020204" pitchFamily="34" charset="0"/>
          </a:endParaRPr>
        </a:p>
      </xdr:txBody>
    </xdr:sp>
    <xdr:clientData/>
  </xdr:twoCellAnchor>
  <xdr:twoCellAnchor>
    <xdr:from>
      <xdr:col>3</xdr:col>
      <xdr:colOff>514350</xdr:colOff>
      <xdr:row>0</xdr:row>
      <xdr:rowOff>361950</xdr:rowOff>
    </xdr:from>
    <xdr:to>
      <xdr:col>13</xdr:col>
      <xdr:colOff>361950</xdr:colOff>
      <xdr:row>0</xdr:row>
      <xdr:rowOff>790575</xdr:rowOff>
    </xdr:to>
    <xdr:sp macro="" textlink="">
      <xdr:nvSpPr>
        <xdr:cNvPr id="3" name="TextBox 2">
          <a:extLst>
            <a:ext uri="{FF2B5EF4-FFF2-40B4-BE49-F238E27FC236}">
              <a16:creationId xmlns:a16="http://schemas.microsoft.com/office/drawing/2014/main" id="{C454FF25-42F6-47FD-A63A-62FA0CEF10E2}"/>
            </a:ext>
            <a:ext uri="{147F2762-F138-4A5C-976F-8EAC2B608ADB}">
              <a16:predDERef xmlns:a16="http://schemas.microsoft.com/office/drawing/2014/main" pred="{82FB7452-5C99-4DE7-A8BD-35CFD3815488}"/>
            </a:ext>
          </a:extLst>
        </xdr:cNvPr>
        <xdr:cNvSpPr txBox="1"/>
      </xdr:nvSpPr>
      <xdr:spPr>
        <a:xfrm>
          <a:off x="3590925" y="361950"/>
          <a:ext cx="7267575" cy="428625"/>
        </a:xfrm>
        <a:prstGeom prst="rect">
          <a:avLst/>
        </a:prstGeom>
        <a:noFill/>
        <a:ln w="9525" cmpd="sng">
          <a:noFill/>
        </a:ln>
      </xdr:spPr>
      <xdr:txBody>
        <a:bodyPr spcFirstLastPara="0" wrap="square" lIns="91440" tIns="45720" rIns="91440" bIns="45720" rtlCol="0" anchor="t">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2400" b="0" i="0">
              <a:solidFill>
                <a:schemeClr val="bg1"/>
              </a:solidFill>
              <a:latin typeface="Arial" panose="020B0604020202020204" pitchFamily="34" charset="0"/>
              <a:cs typeface="Arial" panose="020B0604020202020204" pitchFamily="34" charset="0"/>
            </a:rPr>
            <a:t>RUB A DUB HOT TUB - </a:t>
          </a:r>
          <a:r>
            <a:rPr lang="en-US" sz="2400" b="0" i="0" u="none" strike="noStrike">
              <a:solidFill>
                <a:schemeClr val="bg1"/>
              </a:solidFill>
              <a:latin typeface="Arial" panose="020B0604020202020204" pitchFamily="34" charset="0"/>
              <a:cs typeface="Arial" panose="020B0604020202020204" pitchFamily="34" charset="0"/>
            </a:rPr>
            <a:t>Comparison With Variances</a:t>
          </a:r>
        </a:p>
      </xdr:txBody>
    </xdr:sp>
    <xdr:clientData/>
  </xdr:twoCellAnchor>
  <xdr:twoCellAnchor editAs="oneCell">
    <xdr:from>
      <xdr:col>0</xdr:col>
      <xdr:colOff>9525</xdr:colOff>
      <xdr:row>0</xdr:row>
      <xdr:rowOff>0</xdr:rowOff>
    </xdr:from>
    <xdr:to>
      <xdr:col>1</xdr:col>
      <xdr:colOff>781050</xdr:colOff>
      <xdr:row>0</xdr:row>
      <xdr:rowOff>781050</xdr:rowOff>
    </xdr:to>
    <xdr:pic>
      <xdr:nvPicPr>
        <xdr:cNvPr id="4" name="Picture 3">
          <a:extLst>
            <a:ext uri="{FF2B5EF4-FFF2-40B4-BE49-F238E27FC236}">
              <a16:creationId xmlns:a16="http://schemas.microsoft.com/office/drawing/2014/main" id="{4484C5D8-A6A8-41EE-8D7B-6C41FBF9B318}"/>
            </a:ext>
            <a:ext uri="{147F2762-F138-4A5C-976F-8EAC2B608ADB}">
              <a16:predDERef xmlns:a16="http://schemas.microsoft.com/office/drawing/2014/main" pred="{C454FF25-42F6-47FD-A63A-62FA0CEF10E2}"/>
            </a:ext>
          </a:extLst>
        </xdr:cNvPr>
        <xdr:cNvPicPr>
          <a:picLocks noChangeAspect="1"/>
        </xdr:cNvPicPr>
      </xdr:nvPicPr>
      <xdr:blipFill>
        <a:blip xmlns:r="http://schemas.openxmlformats.org/officeDocument/2006/relationships" r:embed="rId1"/>
        <a:stretch>
          <a:fillRect/>
        </a:stretch>
      </xdr:blipFill>
      <xdr:spPr>
        <a:xfrm>
          <a:off x="9525" y="0"/>
          <a:ext cx="923925" cy="781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kootenaypeaks.sharepoint.com/sites/BBAProgram/Shared%20Documents/Education/Learning%20Pathways/Financial%20Fundamentals%20Learning%20Pathway/Financial%20Learning%20Pathway%20(Spring%202025)/Session%203/FLP%20S3%20Examples.xlsx" TargetMode="External"/><Relationship Id="rId1" Type="http://schemas.openxmlformats.org/officeDocument/2006/relationships/externalLinkPath" Target="/sites/BBAProgram/Shared%20Documents/Education/Learning%20Pathways/Financial%20Fundamentals%20Learning%20Pathway/Financial%20Learning%20Pathway%20(Spring%202025)/Session%203/FLP%20S3%20Examp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sWJa8RgyRkG9Mhcezpnv_83rNS43Ra1Iv7ZJYZwQ0VOi5qGLzYQzSpuF_kHqh2WZ" itemId="01ASXABB627CG4EB2PBRCKSB23DE337O7O">
      <xxl21:absoluteUrl r:id="rId2"/>
    </xxl21:alternateUrls>
    <sheetNames>
      <sheetName val="Balance Sheet"/>
      <sheetName val="Annual P&amp;L - Basic"/>
      <sheetName val="Updated Annual P&amp;L - SC &amp; COA"/>
      <sheetName val="TTM Original - Good"/>
      <sheetName val="TTM - 9 Mths Mess - 3 Mths Good"/>
      <sheetName val="TTM Orignal - With Levers"/>
      <sheetName val="TTM Orignal - Levers for Months"/>
      <sheetName val="TTM Orignal - Units and BE"/>
      <sheetName val="Breakeven Calculator"/>
      <sheetName val="NOTES"/>
    </sheetNames>
    <sheetDataSet>
      <sheetData sheetId="0"/>
      <sheetData sheetId="1"/>
      <sheetData sheetId="2"/>
      <sheetData sheetId="3">
        <row r="5">
          <cell r="P5">
            <v>786499.35</v>
          </cell>
        </row>
        <row r="6">
          <cell r="P6">
            <v>145199.88</v>
          </cell>
        </row>
        <row r="7">
          <cell r="P7">
            <v>108899.91</v>
          </cell>
        </row>
        <row r="8">
          <cell r="P8">
            <v>169401</v>
          </cell>
        </row>
        <row r="13">
          <cell r="P13">
            <v>401300</v>
          </cell>
        </row>
        <row r="14">
          <cell r="P14">
            <v>46670</v>
          </cell>
        </row>
        <row r="15">
          <cell r="P15">
            <v>17500</v>
          </cell>
        </row>
        <row r="16">
          <cell r="P16">
            <v>71999.71638819536</v>
          </cell>
        </row>
        <row r="17">
          <cell r="P17">
            <v>10000.000000000002</v>
          </cell>
        </row>
      </sheetData>
      <sheetData sheetId="4"/>
      <sheetData sheetId="5">
        <row r="5">
          <cell r="C5">
            <v>82940</v>
          </cell>
          <cell r="D5">
            <v>74230</v>
          </cell>
          <cell r="E5">
            <v>64090</v>
          </cell>
          <cell r="F5">
            <v>56225.000000000007</v>
          </cell>
          <cell r="G5">
            <v>44135</v>
          </cell>
          <cell r="H5">
            <v>51090</v>
          </cell>
          <cell r="I5">
            <v>49660</v>
          </cell>
          <cell r="J5">
            <v>57590</v>
          </cell>
          <cell r="K5">
            <v>59995</v>
          </cell>
          <cell r="L5">
            <v>87880</v>
          </cell>
          <cell r="M5">
            <v>82940</v>
          </cell>
          <cell r="N5">
            <v>75724.350000000006</v>
          </cell>
        </row>
        <row r="6">
          <cell r="C6">
            <v>15312</v>
          </cell>
          <cell r="D6">
            <v>13704</v>
          </cell>
          <cell r="E6">
            <v>11832</v>
          </cell>
          <cell r="F6">
            <v>10380</v>
          </cell>
          <cell r="G6">
            <v>8148</v>
          </cell>
          <cell r="H6">
            <v>9432</v>
          </cell>
          <cell r="I6">
            <v>9168</v>
          </cell>
          <cell r="J6">
            <v>10632</v>
          </cell>
          <cell r="K6">
            <v>11076</v>
          </cell>
          <cell r="L6">
            <v>16224</v>
          </cell>
          <cell r="M6">
            <v>15312</v>
          </cell>
          <cell r="N6">
            <v>13979.880000000003</v>
          </cell>
        </row>
        <row r="7">
          <cell r="C7">
            <v>11484</v>
          </cell>
          <cell r="D7">
            <v>10278</v>
          </cell>
          <cell r="E7">
            <v>8874</v>
          </cell>
          <cell r="F7">
            <v>7785.0000000000009</v>
          </cell>
          <cell r="G7">
            <v>6111</v>
          </cell>
          <cell r="H7">
            <v>7074</v>
          </cell>
          <cell r="I7">
            <v>6876</v>
          </cell>
          <cell r="J7">
            <v>7974</v>
          </cell>
          <cell r="K7">
            <v>8307</v>
          </cell>
          <cell r="L7">
            <v>12168</v>
          </cell>
          <cell r="M7">
            <v>11484</v>
          </cell>
          <cell r="N7">
            <v>10484.91</v>
          </cell>
        </row>
        <row r="8">
          <cell r="C8">
            <v>15202.27</v>
          </cell>
          <cell r="D8">
            <v>14680.33</v>
          </cell>
          <cell r="E8">
            <v>14101.82</v>
          </cell>
          <cell r="F8">
            <v>13506.05</v>
          </cell>
          <cell r="G8">
            <v>12551.17</v>
          </cell>
          <cell r="H8">
            <v>13105.87</v>
          </cell>
          <cell r="I8">
            <v>13401.88</v>
          </cell>
          <cell r="J8">
            <v>13733.07</v>
          </cell>
          <cell r="K8">
            <v>14199.41</v>
          </cell>
          <cell r="L8">
            <v>15028.73</v>
          </cell>
          <cell r="M8">
            <v>14991.25</v>
          </cell>
          <cell r="N8">
            <v>14899.15</v>
          </cell>
        </row>
        <row r="13">
          <cell r="C13">
            <v>42318.944065243028</v>
          </cell>
          <cell r="D13">
            <v>37874.791632059198</v>
          </cell>
          <cell r="E13">
            <v>32701.002232233252</v>
          </cell>
          <cell r="F13">
            <v>28687.998915701588</v>
          </cell>
          <cell r="G13">
            <v>22519.250015909103</v>
          </cell>
          <cell r="H13">
            <v>26067.938899123055</v>
          </cell>
          <cell r="I13">
            <v>25338.301932480936</v>
          </cell>
          <cell r="J13">
            <v>29384.470565678155</v>
          </cell>
          <cell r="K13">
            <v>30611.587282303542</v>
          </cell>
          <cell r="L13">
            <v>44839.508131824907</v>
          </cell>
          <cell r="M13">
            <v>42318.944065243028</v>
          </cell>
          <cell r="N13">
            <v>38637.262262200216</v>
          </cell>
        </row>
        <row r="14">
          <cell r="C14">
            <v>4921.567703774962</v>
          </cell>
          <cell r="D14">
            <v>4404.7259543189703</v>
          </cell>
          <cell r="E14">
            <v>3803.0295892806525</v>
          </cell>
          <cell r="F14">
            <v>3336.329203577855</v>
          </cell>
          <cell r="G14">
            <v>2618.9219991090904</v>
          </cell>
          <cell r="H14">
            <v>3031.6239930776801</v>
          </cell>
          <cell r="I14">
            <v>2946.7693774953536</v>
          </cell>
          <cell r="J14">
            <v>3417.3267911791663</v>
          </cell>
          <cell r="K14">
            <v>3560.0368264767162</v>
          </cell>
          <cell r="L14">
            <v>5214.701830332091</v>
          </cell>
          <cell r="M14">
            <v>4921.567703774962</v>
          </cell>
          <cell r="N14">
            <v>4493.3990276025024</v>
          </cell>
        </row>
        <row r="15">
          <cell r="C15">
            <v>1845.4560706248519</v>
          </cell>
          <cell r="D15">
            <v>1651.6542575655021</v>
          </cell>
          <cell r="E15">
            <v>1426.034236391931</v>
          </cell>
          <cell r="F15">
            <v>1251.0340917637125</v>
          </cell>
          <cell r="G15">
            <v>982.02560497983882</v>
          </cell>
          <cell r="H15">
            <v>1136.7777989899164</v>
          </cell>
          <cell r="I15">
            <v>1104.9595908756951</v>
          </cell>
          <cell r="J15">
            <v>1281.4060176909238</v>
          </cell>
          <cell r="K15">
            <v>1334.9184586102965</v>
          </cell>
          <cell r="L15">
            <v>1955.3735168376172</v>
          </cell>
          <cell r="M15">
            <v>1845.4560706248519</v>
          </cell>
          <cell r="N15">
            <v>1684.9042850448639</v>
          </cell>
        </row>
        <row r="16">
          <cell r="C16">
            <v>7292.4555912856122</v>
          </cell>
          <cell r="D16">
            <v>7095.5629194734875</v>
          </cell>
          <cell r="E16">
            <v>5667.8520478116097</v>
          </cell>
          <cell r="F16">
            <v>5346.8519486379737</v>
          </cell>
          <cell r="G16">
            <v>4040.3339176313366</v>
          </cell>
          <cell r="H16">
            <v>4677.0286587013707</v>
          </cell>
          <cell r="I16">
            <v>4546.119459602859</v>
          </cell>
          <cell r="J16">
            <v>5771.6784121309192</v>
          </cell>
          <cell r="K16">
            <v>4992.3726573327749</v>
          </cell>
          <cell r="L16">
            <v>7044.8275544029375</v>
          </cell>
          <cell r="M16">
            <v>8592.4555912856122</v>
          </cell>
          <cell r="N16">
            <v>6932.177629898868</v>
          </cell>
        </row>
        <row r="17">
          <cell r="C17">
            <v>1054.5463260713439</v>
          </cell>
          <cell r="D17">
            <v>943.80243289457269</v>
          </cell>
          <cell r="E17">
            <v>814.87670650967482</v>
          </cell>
          <cell r="F17">
            <v>714.87662386497857</v>
          </cell>
          <cell r="G17">
            <v>561.15748855990796</v>
          </cell>
          <cell r="H17">
            <v>649.58731370852365</v>
          </cell>
          <cell r="I17">
            <v>631.40548050039718</v>
          </cell>
          <cell r="J17">
            <v>732.23201010909929</v>
          </cell>
          <cell r="K17">
            <v>762.81054777731231</v>
          </cell>
          <cell r="L17">
            <v>1117.3562953357814</v>
          </cell>
          <cell r="M17">
            <v>1054.5463260713439</v>
          </cell>
          <cell r="N17">
            <v>962.80244859706499</v>
          </cell>
        </row>
        <row r="23">
          <cell r="C23">
            <v>10018.1900976778</v>
          </cell>
          <cell r="D23">
            <v>6966.1231124984397</v>
          </cell>
          <cell r="E23">
            <v>6241.3287118419103</v>
          </cell>
          <cell r="F23">
            <v>6291.3279267172902</v>
          </cell>
          <cell r="G23">
            <v>4130.9961413191204</v>
          </cell>
          <cell r="H23">
            <v>5371.0794802309701</v>
          </cell>
          <cell r="I23">
            <v>5998.3520647537698</v>
          </cell>
          <cell r="J23">
            <v>4956.2040960364402</v>
          </cell>
          <cell r="K23">
            <v>7246.7002038844703</v>
          </cell>
          <cell r="L23">
            <v>9614.8848056899005</v>
          </cell>
          <cell r="M23">
            <v>9018.1900976777997</v>
          </cell>
          <cell r="N23">
            <v>9146.6232616721009</v>
          </cell>
          <cell r="V23">
            <v>85000.000000000015</v>
          </cell>
        </row>
        <row r="24">
          <cell r="C24">
            <v>1101.81900976778</v>
          </cell>
          <cell r="D24">
            <v>796.61231124984397</v>
          </cell>
          <cell r="E24">
            <v>724.13287118419112</v>
          </cell>
          <cell r="F24">
            <v>729.13279267172902</v>
          </cell>
          <cell r="G24">
            <v>513.09961413191206</v>
          </cell>
          <cell r="H24">
            <v>637.10794802309704</v>
          </cell>
          <cell r="I24">
            <v>699.83520647537705</v>
          </cell>
          <cell r="J24">
            <v>595.62040960364402</v>
          </cell>
          <cell r="K24">
            <v>824.67002038844703</v>
          </cell>
          <cell r="L24">
            <v>961.4884805689901</v>
          </cell>
          <cell r="M24">
            <v>901.81900976778002</v>
          </cell>
          <cell r="N24">
            <v>1014.6623261672102</v>
          </cell>
          <cell r="V24">
            <v>9500.0000000000018</v>
          </cell>
        </row>
        <row r="30">
          <cell r="C30">
            <v>1898.1833869284187</v>
          </cell>
          <cell r="D30">
            <v>1698.8443792102307</v>
          </cell>
          <cell r="E30">
            <v>1466.7780717174146</v>
          </cell>
          <cell r="F30">
            <v>1286.7779229569612</v>
          </cell>
          <cell r="G30">
            <v>1010.0834794078341</v>
          </cell>
          <cell r="H30">
            <v>1169.2571646753427</v>
          </cell>
          <cell r="I30">
            <v>1136.5298649007148</v>
          </cell>
          <cell r="J30">
            <v>1318.0176181963786</v>
          </cell>
          <cell r="K30">
            <v>1373.0589859991619</v>
          </cell>
          <cell r="L30">
            <v>2011.2413316044062</v>
          </cell>
          <cell r="M30">
            <v>1898.1833869284187</v>
          </cell>
          <cell r="N30">
            <v>1733.0444074747168</v>
          </cell>
          <cell r="V30">
            <v>17999.999999999996</v>
          </cell>
        </row>
        <row r="31">
          <cell r="C31">
            <v>3492.0690017099187</v>
          </cell>
          <cell r="D31">
            <v>3901.8214064639719</v>
          </cell>
          <cell r="E31">
            <v>2645.0435083004199</v>
          </cell>
          <cell r="F31">
            <v>3015.0438140857964</v>
          </cell>
          <cell r="G31">
            <v>3015.0438140857964</v>
          </cell>
          <cell r="H31">
            <v>2336.2002778514693</v>
          </cell>
          <cell r="I31">
            <v>2403.4730607215374</v>
          </cell>
          <cell r="J31">
            <v>2822.3990267760551</v>
          </cell>
          <cell r="K31">
            <v>2709.2584374036674</v>
          </cell>
          <cell r="L31">
            <v>3501.8214064639701</v>
          </cell>
          <cell r="M31">
            <v>4134.218292742391</v>
          </cell>
          <cell r="N31">
            <v>3023</v>
          </cell>
          <cell r="V31">
            <v>36999.392046604997</v>
          </cell>
        </row>
        <row r="32">
          <cell r="C32">
            <v>5140.702430332587</v>
          </cell>
          <cell r="D32">
            <v>4600.8480998744626</v>
          </cell>
          <cell r="E32">
            <v>3972.3609688933625</v>
          </cell>
          <cell r="F32">
            <v>3484.8805660169969</v>
          </cell>
          <cell r="G32">
            <v>2735.530525231839</v>
          </cell>
          <cell r="H32">
            <v>3166.6082368663115</v>
          </cell>
          <cell r="I32">
            <v>3077.9754363433358</v>
          </cell>
          <cell r="J32">
            <v>3569.484602879837</v>
          </cell>
          <cell r="K32">
            <v>3718.5488583048414</v>
          </cell>
          <cell r="L32">
            <v>5446.888468502867</v>
          </cell>
          <cell r="M32">
            <v>5140.702430332587</v>
          </cell>
          <cell r="N32">
            <v>4693.4693764209715</v>
          </cell>
          <cell r="V32">
            <v>48748.000000000007</v>
          </cell>
        </row>
        <row r="38">
          <cell r="C38">
            <v>2599.8147337782329</v>
          </cell>
          <cell r="D38">
            <v>2692.2477582503134</v>
          </cell>
          <cell r="E38">
            <v>2391.855481800852</v>
          </cell>
          <cell r="F38">
            <v>2497.3634386344556</v>
          </cell>
          <cell r="G38">
            <v>2320.985558565927</v>
          </cell>
          <cell r="H38">
            <v>2222.7508981170959</v>
          </cell>
          <cell r="I38">
            <v>2432.0596148729514</v>
          </cell>
          <cell r="J38">
            <v>2373.4074836415684</v>
          </cell>
          <cell r="K38">
            <v>2661.5146719436784</v>
          </cell>
          <cell r="L38">
            <v>2514.6461509351616</v>
          </cell>
          <cell r="M38">
            <v>2638.5666869049919</v>
          </cell>
          <cell r="N38">
            <v>2654.8771470227803</v>
          </cell>
          <cell r="V38">
            <v>30000.089624468008</v>
          </cell>
        </row>
        <row r="39">
          <cell r="C39">
            <v>2692.2477582503134</v>
          </cell>
          <cell r="D39">
            <v>2599.8147337782329</v>
          </cell>
          <cell r="E39">
            <v>2497.3634386344556</v>
          </cell>
          <cell r="F39">
            <v>2391.855481800852</v>
          </cell>
          <cell r="G39">
            <v>2222.7508981170959</v>
          </cell>
          <cell r="H39">
            <v>2320.985558565927</v>
          </cell>
          <cell r="I39">
            <v>2373.4074836415684</v>
          </cell>
          <cell r="J39">
            <v>2432.0596148729514</v>
          </cell>
          <cell r="K39">
            <v>2514.6461509351616</v>
          </cell>
          <cell r="L39">
            <v>2661.5146719436784</v>
          </cell>
          <cell r="M39">
            <v>2654.8771470227803</v>
          </cell>
          <cell r="N39">
            <v>2638.5666869049919</v>
          </cell>
          <cell r="V39">
            <v>30000.089624468008</v>
          </cell>
        </row>
        <row r="40">
          <cell r="C40">
            <v>753.82937231008771</v>
          </cell>
          <cell r="D40">
            <v>727.94812545790523</v>
          </cell>
          <cell r="E40">
            <v>699.26176281764754</v>
          </cell>
          <cell r="F40">
            <v>669.71953490423857</v>
          </cell>
          <cell r="G40">
            <v>622.37025147278678</v>
          </cell>
          <cell r="H40">
            <v>649.87595639845949</v>
          </cell>
          <cell r="I40">
            <v>664.55409541963911</v>
          </cell>
          <cell r="J40">
            <v>680.97669216442637</v>
          </cell>
          <cell r="K40">
            <v>704.1009222618452</v>
          </cell>
          <cell r="L40">
            <v>745.22410814422994</v>
          </cell>
          <cell r="M40">
            <v>743.3656011663785</v>
          </cell>
          <cell r="N40">
            <v>738.79867233339769</v>
          </cell>
          <cell r="V40">
            <v>8400.025094851042</v>
          </cell>
        </row>
        <row r="41">
          <cell r="C41">
            <v>188.45734307752193</v>
          </cell>
          <cell r="D41">
            <v>181.98703136447631</v>
          </cell>
          <cell r="E41">
            <v>174.81544070441188</v>
          </cell>
          <cell r="F41">
            <v>167.42988372605964</v>
          </cell>
          <cell r="G41">
            <v>155.59256286819669</v>
          </cell>
          <cell r="H41">
            <v>162.46898909961487</v>
          </cell>
          <cell r="I41">
            <v>166.13852385490978</v>
          </cell>
          <cell r="J41">
            <v>170.24417304110659</v>
          </cell>
          <cell r="K41">
            <v>176.0252305654613</v>
          </cell>
          <cell r="L41">
            <v>186.30602703605749</v>
          </cell>
          <cell r="M41">
            <v>185.84140029159462</v>
          </cell>
          <cell r="N41">
            <v>184.69966808334942</v>
          </cell>
          <cell r="V41">
            <v>2100.0062737127605</v>
          </cell>
        </row>
        <row r="42">
          <cell r="C42">
            <v>192.94442267460579</v>
          </cell>
          <cell r="D42">
            <v>186.32005592077337</v>
          </cell>
          <cell r="E42">
            <v>178.97771310213599</v>
          </cell>
          <cell r="F42">
            <v>171.41630952906107</v>
          </cell>
          <cell r="G42">
            <v>159.29714769839185</v>
          </cell>
          <cell r="H42">
            <v>166.33729836389142</v>
          </cell>
          <cell r="I42">
            <v>170.09420299431241</v>
          </cell>
          <cell r="J42">
            <v>174.29760573256152</v>
          </cell>
          <cell r="K42">
            <v>180.21630748368659</v>
          </cell>
          <cell r="L42">
            <v>190.74188482263028</v>
          </cell>
          <cell r="M42">
            <v>190.26619553663258</v>
          </cell>
          <cell r="N42">
            <v>189.0972792281911</v>
          </cell>
          <cell r="V42">
            <v>2150.0064230868738</v>
          </cell>
        </row>
        <row r="43">
          <cell r="C43">
            <v>1088.5655102525434</v>
          </cell>
          <cell r="D43">
            <v>1051.1917573576654</v>
          </cell>
          <cell r="E43">
            <v>1009.7672836878648</v>
          </cell>
          <cell r="F43">
            <v>967.10689980814448</v>
          </cell>
          <cell r="G43">
            <v>898.73227980534568</v>
          </cell>
          <cell r="H43">
            <v>938.45182751348977</v>
          </cell>
          <cell r="I43">
            <v>959.64775921907415</v>
          </cell>
          <cell r="J43">
            <v>983.36277094696334</v>
          </cell>
          <cell r="K43">
            <v>1016.7552603614503</v>
          </cell>
          <cell r="L43">
            <v>1076.1390990225607</v>
          </cell>
          <cell r="M43">
            <v>1073.4553264462108</v>
          </cell>
          <cell r="N43">
            <v>1066.8604637385849</v>
          </cell>
          <cell r="V43">
            <v>12130.036238159897</v>
          </cell>
        </row>
        <row r="53">
          <cell r="C53">
            <v>3667</v>
          </cell>
          <cell r="D53">
            <v>3667</v>
          </cell>
          <cell r="E53">
            <v>3667</v>
          </cell>
          <cell r="F53">
            <v>3667</v>
          </cell>
          <cell r="G53">
            <v>3667</v>
          </cell>
          <cell r="H53">
            <v>3667</v>
          </cell>
          <cell r="I53">
            <v>3667</v>
          </cell>
          <cell r="J53">
            <v>3667</v>
          </cell>
          <cell r="K53">
            <v>3667</v>
          </cell>
          <cell r="L53">
            <v>3667</v>
          </cell>
          <cell r="M53">
            <v>3667</v>
          </cell>
          <cell r="N53">
            <v>3667</v>
          </cell>
          <cell r="V53">
            <v>44004</v>
          </cell>
        </row>
        <row r="54">
          <cell r="C54">
            <v>910</v>
          </cell>
          <cell r="D54">
            <v>280</v>
          </cell>
          <cell r="E54">
            <v>560</v>
          </cell>
          <cell r="F54">
            <v>350</v>
          </cell>
          <cell r="G54">
            <v>280</v>
          </cell>
          <cell r="H54">
            <v>350</v>
          </cell>
          <cell r="I54">
            <v>490</v>
          </cell>
          <cell r="J54">
            <v>700</v>
          </cell>
          <cell r="K54">
            <v>420</v>
          </cell>
          <cell r="L54">
            <v>1190</v>
          </cell>
          <cell r="M54">
            <v>1120</v>
          </cell>
          <cell r="N54">
            <v>350</v>
          </cell>
          <cell r="V54">
            <v>7000</v>
          </cell>
        </row>
        <row r="55">
          <cell r="C55">
            <v>120</v>
          </cell>
          <cell r="D55">
            <v>160</v>
          </cell>
          <cell r="E55">
            <v>230</v>
          </cell>
          <cell r="F55">
            <v>270</v>
          </cell>
          <cell r="G55">
            <v>290</v>
          </cell>
          <cell r="H55">
            <v>350</v>
          </cell>
          <cell r="I55">
            <v>470</v>
          </cell>
          <cell r="J55">
            <v>750</v>
          </cell>
          <cell r="K55">
            <v>1100</v>
          </cell>
          <cell r="L55">
            <v>3100</v>
          </cell>
          <cell r="M55">
            <v>2130</v>
          </cell>
          <cell r="N55">
            <v>2030</v>
          </cell>
          <cell r="V55">
            <v>11000</v>
          </cell>
        </row>
        <row r="56">
          <cell r="C56">
            <v>1083</v>
          </cell>
          <cell r="D56">
            <v>1083</v>
          </cell>
          <cell r="E56">
            <v>1083</v>
          </cell>
          <cell r="F56">
            <v>1083</v>
          </cell>
          <cell r="G56">
            <v>1083</v>
          </cell>
          <cell r="H56">
            <v>1083</v>
          </cell>
          <cell r="I56">
            <v>1083</v>
          </cell>
          <cell r="J56">
            <v>1083</v>
          </cell>
          <cell r="K56">
            <v>1083</v>
          </cell>
          <cell r="L56">
            <v>1083</v>
          </cell>
          <cell r="M56">
            <v>1083</v>
          </cell>
          <cell r="N56">
            <v>1087</v>
          </cell>
          <cell r="V56">
            <v>13000</v>
          </cell>
        </row>
        <row r="57">
          <cell r="C57">
            <v>1250</v>
          </cell>
          <cell r="D57">
            <v>1150</v>
          </cell>
          <cell r="E57">
            <v>1150</v>
          </cell>
          <cell r="F57">
            <v>850</v>
          </cell>
          <cell r="G57">
            <v>700</v>
          </cell>
          <cell r="H57">
            <v>1050</v>
          </cell>
          <cell r="I57">
            <v>1300</v>
          </cell>
          <cell r="J57">
            <v>1350</v>
          </cell>
          <cell r="K57">
            <v>1000</v>
          </cell>
          <cell r="L57">
            <v>900</v>
          </cell>
          <cell r="M57">
            <v>1100</v>
          </cell>
          <cell r="N57">
            <v>1200</v>
          </cell>
          <cell r="V57">
            <v>13000</v>
          </cell>
        </row>
        <row r="58">
          <cell r="C58">
            <v>1200</v>
          </cell>
          <cell r="D58">
            <v>800</v>
          </cell>
          <cell r="E58">
            <v>900</v>
          </cell>
          <cell r="F58">
            <v>1100</v>
          </cell>
          <cell r="G58">
            <v>500</v>
          </cell>
          <cell r="H58">
            <v>1500</v>
          </cell>
          <cell r="I58">
            <v>1000</v>
          </cell>
          <cell r="J58">
            <v>1000</v>
          </cell>
          <cell r="K58">
            <v>700</v>
          </cell>
          <cell r="L58">
            <v>1300</v>
          </cell>
          <cell r="M58">
            <v>1100</v>
          </cell>
          <cell r="N58">
            <v>900</v>
          </cell>
          <cell r="V58">
            <v>12000</v>
          </cell>
        </row>
        <row r="59">
          <cell r="C59">
            <v>2470</v>
          </cell>
          <cell r="D59">
            <v>760</v>
          </cell>
          <cell r="E59">
            <v>1520</v>
          </cell>
          <cell r="F59">
            <v>950</v>
          </cell>
          <cell r="G59">
            <v>760</v>
          </cell>
          <cell r="H59">
            <v>950</v>
          </cell>
          <cell r="I59">
            <v>1330</v>
          </cell>
          <cell r="J59">
            <v>1900</v>
          </cell>
          <cell r="K59">
            <v>1140</v>
          </cell>
          <cell r="L59">
            <v>3230</v>
          </cell>
          <cell r="M59">
            <v>3040</v>
          </cell>
          <cell r="N59">
            <v>950</v>
          </cell>
          <cell r="V59">
            <v>19000</v>
          </cell>
        </row>
        <row r="60">
          <cell r="C60">
            <v>250</v>
          </cell>
          <cell r="D60">
            <v>250</v>
          </cell>
          <cell r="E60">
            <v>250</v>
          </cell>
          <cell r="F60">
            <v>250</v>
          </cell>
          <cell r="G60">
            <v>250</v>
          </cell>
          <cell r="H60">
            <v>250</v>
          </cell>
          <cell r="I60">
            <v>250</v>
          </cell>
          <cell r="J60">
            <v>250</v>
          </cell>
          <cell r="K60">
            <v>250</v>
          </cell>
          <cell r="L60">
            <v>250</v>
          </cell>
          <cell r="M60">
            <v>250</v>
          </cell>
          <cell r="N60">
            <v>250</v>
          </cell>
          <cell r="V60">
            <v>3000</v>
          </cell>
        </row>
        <row r="61">
          <cell r="C61">
            <v>250</v>
          </cell>
          <cell r="D61">
            <v>250</v>
          </cell>
          <cell r="E61">
            <v>250</v>
          </cell>
          <cell r="F61">
            <v>250</v>
          </cell>
          <cell r="G61">
            <v>250</v>
          </cell>
          <cell r="H61">
            <v>250</v>
          </cell>
          <cell r="I61">
            <v>250</v>
          </cell>
          <cell r="J61">
            <v>250</v>
          </cell>
          <cell r="K61">
            <v>250</v>
          </cell>
          <cell r="L61">
            <v>250</v>
          </cell>
          <cell r="M61">
            <v>250</v>
          </cell>
          <cell r="N61">
            <v>250</v>
          </cell>
          <cell r="V61">
            <v>3000</v>
          </cell>
        </row>
        <row r="62">
          <cell r="C62">
            <v>4166.666666666667</v>
          </cell>
          <cell r="D62">
            <v>4166.666666666667</v>
          </cell>
          <cell r="E62">
            <v>4166.666666666667</v>
          </cell>
          <cell r="F62">
            <v>4166.666666666667</v>
          </cell>
          <cell r="G62">
            <v>4166.666666666667</v>
          </cell>
          <cell r="H62">
            <v>4166.666666666667</v>
          </cell>
          <cell r="I62">
            <v>4166.666666666667</v>
          </cell>
          <cell r="J62">
            <v>4166.666666666667</v>
          </cell>
          <cell r="K62">
            <v>4166.666666666667</v>
          </cell>
          <cell r="L62">
            <v>4166.666666666667</v>
          </cell>
          <cell r="M62">
            <v>4166.666666666667</v>
          </cell>
          <cell r="N62">
            <v>4166.666666666667</v>
          </cell>
          <cell r="V62">
            <v>49999.999999999993</v>
          </cell>
        </row>
        <row r="63">
          <cell r="C63">
            <v>1683.5981519884429</v>
          </cell>
          <cell r="D63">
            <v>1632.3372245385917</v>
          </cell>
          <cell r="E63">
            <v>1447.4794575846822</v>
          </cell>
          <cell r="F63">
            <v>1383.8567469045513</v>
          </cell>
          <cell r="G63">
            <v>1200.0386874952258</v>
          </cell>
          <cell r="H63">
            <v>1293.8301012991162</v>
          </cell>
          <cell r="I63">
            <v>1282.1636925077585</v>
          </cell>
          <cell r="J63">
            <v>1435.9155005148393</v>
          </cell>
          <cell r="K63">
            <v>1368.6034939519518</v>
          </cell>
          <cell r="L63">
            <v>1666.2578485623956</v>
          </cell>
          <cell r="M63">
            <v>1816.047974870675</v>
          </cell>
          <cell r="N63">
            <v>1622.8507705101561</v>
          </cell>
          <cell r="V63">
            <v>17832.979650728386</v>
          </cell>
        </row>
        <row r="64">
          <cell r="C64">
            <v>1550</v>
          </cell>
          <cell r="D64">
            <v>1550</v>
          </cell>
          <cell r="E64">
            <v>1550</v>
          </cell>
          <cell r="F64">
            <v>1550</v>
          </cell>
          <cell r="G64">
            <v>1550</v>
          </cell>
          <cell r="H64">
            <v>1550</v>
          </cell>
          <cell r="I64">
            <v>1550</v>
          </cell>
          <cell r="J64">
            <v>1550</v>
          </cell>
          <cell r="K64">
            <v>1550</v>
          </cell>
          <cell r="L64">
            <v>1550</v>
          </cell>
          <cell r="M64">
            <v>1550</v>
          </cell>
          <cell r="N64">
            <v>1550</v>
          </cell>
          <cell r="V64">
            <v>18600</v>
          </cell>
        </row>
        <row r="65">
          <cell r="C65">
            <v>225</v>
          </cell>
          <cell r="D65">
            <v>225</v>
          </cell>
          <cell r="E65">
            <v>225</v>
          </cell>
          <cell r="F65">
            <v>225</v>
          </cell>
          <cell r="G65">
            <v>225</v>
          </cell>
          <cell r="H65">
            <v>225</v>
          </cell>
          <cell r="I65">
            <v>225</v>
          </cell>
          <cell r="J65">
            <v>225</v>
          </cell>
          <cell r="K65">
            <v>225</v>
          </cell>
          <cell r="L65">
            <v>225</v>
          </cell>
          <cell r="M65">
            <v>225</v>
          </cell>
          <cell r="N65">
            <v>225</v>
          </cell>
          <cell r="V65">
            <v>2700</v>
          </cell>
        </row>
        <row r="66">
          <cell r="C66">
            <v>0</v>
          </cell>
          <cell r="D66">
            <v>0</v>
          </cell>
          <cell r="E66">
            <v>1200</v>
          </cell>
          <cell r="F66">
            <v>450</v>
          </cell>
          <cell r="G66">
            <v>0</v>
          </cell>
          <cell r="H66">
            <v>600</v>
          </cell>
          <cell r="I66">
            <v>0</v>
          </cell>
          <cell r="J66">
            <v>0</v>
          </cell>
          <cell r="K66">
            <v>1600</v>
          </cell>
          <cell r="L66">
            <v>0</v>
          </cell>
          <cell r="M66">
            <v>0</v>
          </cell>
          <cell r="N66">
            <v>0</v>
          </cell>
          <cell r="V66">
            <v>3850</v>
          </cell>
        </row>
        <row r="67">
          <cell r="C67">
            <v>910</v>
          </cell>
          <cell r="D67">
            <v>180</v>
          </cell>
          <cell r="E67">
            <v>360</v>
          </cell>
          <cell r="F67">
            <v>150</v>
          </cell>
          <cell r="G67">
            <v>250</v>
          </cell>
          <cell r="H67">
            <v>250</v>
          </cell>
          <cell r="I67">
            <v>220</v>
          </cell>
          <cell r="J67">
            <v>325</v>
          </cell>
          <cell r="K67">
            <v>130</v>
          </cell>
          <cell r="L67">
            <v>900</v>
          </cell>
          <cell r="M67">
            <v>1020</v>
          </cell>
          <cell r="N67">
            <v>175</v>
          </cell>
          <cell r="V67">
            <v>4870</v>
          </cell>
        </row>
        <row r="68">
          <cell r="C68">
            <v>1250</v>
          </cell>
          <cell r="D68">
            <v>1250</v>
          </cell>
          <cell r="E68">
            <v>1250</v>
          </cell>
          <cell r="F68">
            <v>1250</v>
          </cell>
          <cell r="G68">
            <v>1250</v>
          </cell>
          <cell r="H68">
            <v>1250</v>
          </cell>
          <cell r="I68">
            <v>1250</v>
          </cell>
          <cell r="J68">
            <v>1250</v>
          </cell>
          <cell r="K68">
            <v>1250</v>
          </cell>
          <cell r="L68">
            <v>1250</v>
          </cell>
          <cell r="M68">
            <v>1250</v>
          </cell>
          <cell r="N68">
            <v>1250</v>
          </cell>
          <cell r="V68">
            <v>15000</v>
          </cell>
        </row>
        <row r="69">
          <cell r="C69">
            <v>667</v>
          </cell>
          <cell r="D69">
            <v>667</v>
          </cell>
          <cell r="E69">
            <v>667</v>
          </cell>
          <cell r="F69">
            <v>667</v>
          </cell>
          <cell r="G69">
            <v>667</v>
          </cell>
          <cell r="H69">
            <v>667</v>
          </cell>
          <cell r="I69">
            <v>667</v>
          </cell>
          <cell r="J69">
            <v>667</v>
          </cell>
          <cell r="K69">
            <v>667</v>
          </cell>
          <cell r="L69">
            <v>667</v>
          </cell>
          <cell r="M69">
            <v>667</v>
          </cell>
          <cell r="N69">
            <v>667</v>
          </cell>
          <cell r="V69">
            <v>8004</v>
          </cell>
        </row>
        <row r="70">
          <cell r="C70">
            <v>0</v>
          </cell>
          <cell r="D70">
            <v>0</v>
          </cell>
          <cell r="E70">
            <v>1700</v>
          </cell>
          <cell r="F70">
            <v>0</v>
          </cell>
          <cell r="G70">
            <v>0</v>
          </cell>
          <cell r="H70">
            <v>2800</v>
          </cell>
          <cell r="I70">
            <v>0</v>
          </cell>
          <cell r="J70">
            <v>0</v>
          </cell>
          <cell r="K70">
            <v>2500</v>
          </cell>
          <cell r="L70">
            <v>0</v>
          </cell>
          <cell r="M70">
            <v>0</v>
          </cell>
          <cell r="N70">
            <v>0</v>
          </cell>
          <cell r="V70">
            <v>7000</v>
          </cell>
        </row>
        <row r="73">
          <cell r="C73">
            <v>1250</v>
          </cell>
          <cell r="D73">
            <v>1250</v>
          </cell>
          <cell r="E73">
            <v>1250</v>
          </cell>
          <cell r="F73">
            <v>1250</v>
          </cell>
          <cell r="G73">
            <v>1250</v>
          </cell>
          <cell r="H73">
            <v>1250</v>
          </cell>
          <cell r="I73">
            <v>1250</v>
          </cell>
          <cell r="J73">
            <v>1250</v>
          </cell>
          <cell r="K73">
            <v>1250</v>
          </cell>
          <cell r="L73">
            <v>1250</v>
          </cell>
          <cell r="M73">
            <v>1250</v>
          </cell>
          <cell r="N73">
            <v>1250</v>
          </cell>
          <cell r="V73">
            <v>15000</v>
          </cell>
        </row>
        <row r="74">
          <cell r="C74">
            <v>2500</v>
          </cell>
          <cell r="D74">
            <v>2500</v>
          </cell>
          <cell r="E74">
            <v>2500</v>
          </cell>
          <cell r="F74">
            <v>2500</v>
          </cell>
          <cell r="G74">
            <v>2500</v>
          </cell>
          <cell r="H74">
            <v>2500</v>
          </cell>
          <cell r="I74">
            <v>2500</v>
          </cell>
          <cell r="J74">
            <v>2500</v>
          </cell>
          <cell r="K74">
            <v>2500</v>
          </cell>
          <cell r="L74">
            <v>2500</v>
          </cell>
          <cell r="M74">
            <v>2500</v>
          </cell>
          <cell r="N74">
            <v>2500</v>
          </cell>
          <cell r="V74">
            <v>30000</v>
          </cell>
        </row>
        <row r="75">
          <cell r="C75">
            <v>1000</v>
          </cell>
          <cell r="D75">
            <v>1000</v>
          </cell>
          <cell r="E75">
            <v>1000</v>
          </cell>
          <cell r="F75">
            <v>1000</v>
          </cell>
          <cell r="G75">
            <v>1000</v>
          </cell>
          <cell r="H75">
            <v>1000</v>
          </cell>
          <cell r="I75">
            <v>1000</v>
          </cell>
          <cell r="J75">
            <v>1000</v>
          </cell>
          <cell r="K75">
            <v>1000</v>
          </cell>
          <cell r="L75">
            <v>1000</v>
          </cell>
          <cell r="M75">
            <v>1000</v>
          </cell>
          <cell r="N75">
            <v>1000</v>
          </cell>
          <cell r="V75">
            <v>12000</v>
          </cell>
        </row>
      </sheetData>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Greg Scroggs" id="{A5E60EC0-7C2F-4FFB-A896-E888107DC90E}" userId="greg@bbaprogram.ca" providerId="PeoplePicker"/>
  <person displayName="Emily Compton" id="{65DFF685-99F6-48C5-A094-A862EAE2A19F}" userId="emily@bbaprogram.ca" providerId="PeoplePicker"/>
  <person displayName="Kim Dudas" id="{C9200221-797C-4647-97BF-32F42C18A323}" userId="S::kim@bbaprogram.ca::7b704986-c0d5-49df-9481-16feb3260ab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R1" dT="2025-05-27T15:28:08.00" personId="{C9200221-797C-4647-97BF-32F42C18A323}" id="{7D2CB328-E62D-4F03-9F73-52E03310E526}">
    <text>@Greg Scroggs Do we want a title in the banner?</text>
    <mentions>
      <mention mentionpersonId="{A5E60EC0-7C2F-4FFB-A896-E888107DC90E}" mentionId="{C4BDE145-AE7A-45E4-96DB-60F27EF0396B}" startIndex="0" length="13"/>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R1" dT="2025-05-27T15:26:57.49" personId="{C9200221-797C-4647-97BF-32F42C18A323}" id="{A62A4594-DE7A-42EB-B429-27B486FA01AC}">
    <text>@Greg Scroggs Please ensure sheet title is complete in the banner.</text>
    <mentions>
      <mention mentionpersonId="{A5E60EC0-7C2F-4FFB-A896-E888107DC90E}" mentionId="{47533A6F-E549-4BBA-B2DE-1C32BC96790B}" startIndex="0" length="13"/>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R1" dT="2025-05-27T15:26:12.41" personId="{C9200221-797C-4647-97BF-32F42C18A323}" id="{FA8EF111-4C14-4886-96A2-FB2706795E65}">
    <text>@Greg Scroggs Please ensure sheet title is complete in banner.</text>
    <mentions>
      <mention mentionpersonId="{A5E60EC0-7C2F-4FFB-A896-E888107DC90E}" mentionId="{304C3544-4C4A-446A-AF41-D9D114697821}" startIndex="0" length="13"/>
    </mentions>
  </threadedComment>
</ThreadedComments>
</file>

<file path=xl/threadedComments/threadedComment4.xml><?xml version="1.0" encoding="utf-8"?>
<ThreadedComments xmlns="http://schemas.microsoft.com/office/spreadsheetml/2018/threadedcomments" xmlns:x="http://schemas.openxmlformats.org/spreadsheetml/2006/main">
  <threadedComment ref="BG1" dT="2025-05-27T15:25:42.84" personId="{C9200221-797C-4647-97BF-32F42C18A323}" id="{80647064-F5C4-4DFD-9F6A-230AF8D6C298}">
    <text>@Greg Scroggs Please ensure sheet title is complete in the banner.</text>
    <mentions>
      <mention mentionpersonId="{A5E60EC0-7C2F-4FFB-A896-E888107DC90E}" mentionId="{4A478457-1D3A-48A5-A218-BEFBF9B8EC62}" startIndex="0" length="13"/>
    </mentions>
  </threadedComment>
</ThreadedComments>
</file>

<file path=xl/threadedComments/threadedComment5.xml><?xml version="1.0" encoding="utf-8"?>
<ThreadedComments xmlns="http://schemas.microsoft.com/office/spreadsheetml/2018/threadedcomments" xmlns:x="http://schemas.openxmlformats.org/spreadsheetml/2006/main">
  <threadedComment ref="C1" dT="2025-05-27T15:08:57.09" personId="{C9200221-797C-4647-97BF-32F42C18A323}" id="{F9A32BEB-5D1D-45C2-9F3E-83C7764BD23F}">
    <text>@Greg Scroggs Please ensure sheet title is complete in the banner.</text>
    <mentions>
      <mention mentionpersonId="{A5E60EC0-7C2F-4FFB-A896-E888107DC90E}" mentionId="{19E46268-50F4-4746-9699-B1A43FDFC31C}" startIndex="0" length="13"/>
    </mentions>
  </threadedComment>
</ThreadedComments>
</file>

<file path=xl/threadedComments/threadedComment6.xml><?xml version="1.0" encoding="utf-8"?>
<ThreadedComments xmlns="http://schemas.microsoft.com/office/spreadsheetml/2018/threadedcomments" xmlns:x="http://schemas.openxmlformats.org/spreadsheetml/2006/main">
  <threadedComment ref="M30" dT="2025-05-27T15:08:22.64" personId="{C9200221-797C-4647-97BF-32F42C18A323}" id="{C2F4A9F9-34E3-4C0C-BCC4-2C36D2684808}" done="1">
    <text>@Emily Compton Please brand the Breakeven Calculator sheet and add disclaimer.</text>
    <mentions>
      <mention mentionpersonId="{65DFF685-99F6-48C5-A094-A862EAE2A19F}" mentionId="{146E134A-BCDB-4EA6-A09B-F0259EEB9AF7}" startIndex="0" length="14"/>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2.xml"/><Relationship Id="rId5" Type="http://schemas.microsoft.com/office/2019/04/relationships/documenttask" Target="../documenttasks/documenttask6.xml"/><Relationship Id="rId4" Type="http://schemas.microsoft.com/office/2017/10/relationships/threadedComment" Target="../threadedComments/threadedComment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 Id="rId5" Type="http://schemas.microsoft.com/office/2019/04/relationships/documenttask" Target="../documenttasks/documenttask2.xml"/><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 Id="rId5" Type="http://schemas.microsoft.com/office/2019/04/relationships/documenttask" Target="../documenttasks/documenttask3.xml"/><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 Id="rId5" Type="http://schemas.microsoft.com/office/2019/04/relationships/documenttask" Target="../documenttasks/documenttask4.xml"/><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 Id="rId5" Type="http://schemas.microsoft.com/office/2019/04/relationships/documenttask" Target="../documenttasks/documenttask5.xml"/><Relationship Id="rId4" Type="http://schemas.microsoft.com/office/2017/10/relationships/threadedComment" Target="../threadedComments/threadedComment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7A781-AC3F-4F86-AED2-1AE5391C67A3}">
  <sheetPr>
    <pageSetUpPr fitToPage="1"/>
  </sheetPr>
  <dimension ref="A1:P51"/>
  <sheetViews>
    <sheetView tabSelected="1" topLeftCell="A2" workbookViewId="0">
      <selection activeCell="D6" sqref="D6"/>
    </sheetView>
  </sheetViews>
  <sheetFormatPr defaultRowHeight="15" customHeight="1" x14ac:dyDescent="0.3"/>
  <cols>
    <col min="1" max="1" width="9.109375" style="179"/>
    <col min="2" max="2" width="41.5546875" style="22" customWidth="1"/>
    <col min="3" max="3" width="15.44140625" customWidth="1"/>
    <col min="4" max="4" width="21.109375" style="25" customWidth="1"/>
    <col min="5" max="5" width="8.88671875" bestFit="1" customWidth="1"/>
    <col min="6" max="6" width="1.5546875" customWidth="1"/>
    <col min="7" max="7" width="3" customWidth="1"/>
    <col min="8" max="8" width="13.5546875" customWidth="1"/>
    <col min="9" max="9" width="1.88671875" customWidth="1"/>
    <col min="10" max="10" width="12.44140625" customWidth="1"/>
    <col min="11" max="11" width="2.44140625" customWidth="1"/>
    <col min="12" max="12" width="8" customWidth="1"/>
    <col min="13" max="13" width="2" customWidth="1"/>
    <col min="14" max="14" width="8.88671875" bestFit="1" customWidth="1"/>
    <col min="15" max="15" width="10.5546875" customWidth="1"/>
  </cols>
  <sheetData>
    <row r="1" spans="1:15" ht="55.5" customHeight="1" x14ac:dyDescent="0.3">
      <c r="B1" s="26"/>
      <c r="O1" s="26"/>
    </row>
    <row r="2" spans="1:15" ht="15" customHeight="1" x14ac:dyDescent="0.3">
      <c r="A2" s="179" t="s">
        <v>0</v>
      </c>
    </row>
    <row r="3" spans="1:15" ht="17.399999999999999" x14ac:dyDescent="0.3">
      <c r="B3" s="27" t="s">
        <v>1</v>
      </c>
    </row>
    <row r="5" spans="1:15" ht="15.6" x14ac:dyDescent="0.3">
      <c r="B5" s="28" t="s">
        <v>2</v>
      </c>
    </row>
    <row r="6" spans="1:15" ht="14.4" x14ac:dyDescent="0.3">
      <c r="A6" s="179">
        <v>1100</v>
      </c>
      <c r="B6" s="29" t="s">
        <v>3</v>
      </c>
      <c r="D6" s="116">
        <v>65000</v>
      </c>
    </row>
    <row r="7" spans="1:15" ht="14.4" x14ac:dyDescent="0.3">
      <c r="A7" s="179">
        <v>1110</v>
      </c>
      <c r="B7" s="29" t="s">
        <v>4</v>
      </c>
      <c r="D7" s="116">
        <v>35000</v>
      </c>
    </row>
    <row r="8" spans="1:15" ht="14.4" x14ac:dyDescent="0.3">
      <c r="A8" s="179">
        <v>1130</v>
      </c>
      <c r="B8" s="22" t="s">
        <v>5</v>
      </c>
      <c r="D8" s="116">
        <v>80000</v>
      </c>
    </row>
    <row r="9" spans="1:15" ht="24" customHeight="1" x14ac:dyDescent="0.45">
      <c r="A9" s="179">
        <v>1140</v>
      </c>
      <c r="B9" s="22" t="s">
        <v>6</v>
      </c>
      <c r="D9" s="116">
        <v>180000</v>
      </c>
      <c r="H9" s="30"/>
    </row>
    <row r="10" spans="1:15" ht="14.4" x14ac:dyDescent="0.3">
      <c r="A10" s="179">
        <v>1150</v>
      </c>
      <c r="B10" s="22" t="s">
        <v>7</v>
      </c>
      <c r="D10" s="116">
        <v>10000</v>
      </c>
    </row>
    <row r="11" spans="1:15" ht="14.4" x14ac:dyDescent="0.3">
      <c r="B11" s="31" t="s">
        <v>8</v>
      </c>
      <c r="C11" s="32"/>
      <c r="D11" s="117">
        <f>SUM(D6:D10)</f>
        <v>370000</v>
      </c>
    </row>
    <row r="12" spans="1:15" ht="15" customHeight="1" x14ac:dyDescent="0.3">
      <c r="D12" s="116"/>
    </row>
    <row r="13" spans="1:15" ht="15.6" x14ac:dyDescent="0.3">
      <c r="B13" s="28" t="s">
        <v>9</v>
      </c>
      <c r="D13" s="116"/>
    </row>
    <row r="14" spans="1:15" ht="14.4" x14ac:dyDescent="0.3">
      <c r="B14" s="34" t="s">
        <v>10</v>
      </c>
      <c r="D14" s="116"/>
      <c r="H14" s="35" t="s">
        <v>11</v>
      </c>
    </row>
    <row r="15" spans="1:15" ht="14.4" x14ac:dyDescent="0.3">
      <c r="A15" s="179">
        <v>1200</v>
      </c>
      <c r="B15" s="22" t="s">
        <v>12</v>
      </c>
      <c r="D15" s="116">
        <v>55000</v>
      </c>
      <c r="H15" s="33">
        <f>D11</f>
        <v>370000</v>
      </c>
      <c r="I15" s="36" t="s">
        <v>13</v>
      </c>
      <c r="J15" s="33">
        <f>D33</f>
        <v>200000</v>
      </c>
      <c r="K15" s="36" t="s">
        <v>14</v>
      </c>
      <c r="L15" s="37">
        <f>(D11/D33)</f>
        <v>1.85</v>
      </c>
      <c r="M15" s="38"/>
      <c r="N15" s="38"/>
      <c r="O15" s="38"/>
    </row>
    <row r="16" spans="1:15" ht="14.4" x14ac:dyDescent="0.3">
      <c r="A16" s="179">
        <v>1210</v>
      </c>
      <c r="B16" s="22" t="s">
        <v>15</v>
      </c>
      <c r="D16" s="116">
        <v>90000</v>
      </c>
    </row>
    <row r="17" spans="1:15" ht="14.4" x14ac:dyDescent="0.3">
      <c r="A17" s="179">
        <v>1220</v>
      </c>
      <c r="B17" s="22" t="s">
        <v>16</v>
      </c>
      <c r="D17" s="116">
        <v>10000</v>
      </c>
    </row>
    <row r="18" spans="1:15" ht="24" customHeight="1" x14ac:dyDescent="0.45">
      <c r="A18" s="179">
        <v>1230</v>
      </c>
      <c r="B18" s="22" t="s">
        <v>17</v>
      </c>
      <c r="D18" s="116">
        <v>25000</v>
      </c>
      <c r="H18" s="30"/>
    </row>
    <row r="19" spans="1:15" ht="14.4" x14ac:dyDescent="0.3">
      <c r="B19" s="34" t="s">
        <v>18</v>
      </c>
      <c r="D19" s="118">
        <f>SUM(D15:D18)</f>
        <v>180000</v>
      </c>
    </row>
    <row r="20" spans="1:15" ht="15.6" x14ac:dyDescent="0.3">
      <c r="A20" s="179">
        <v>1300</v>
      </c>
      <c r="B20" s="39" t="s">
        <v>19</v>
      </c>
      <c r="D20" s="116">
        <v>-15000</v>
      </c>
      <c r="H20" s="38"/>
      <c r="I20" s="38"/>
      <c r="J20" s="38"/>
      <c r="K20" s="38"/>
      <c r="L20" s="38"/>
      <c r="M20" s="38"/>
      <c r="N20" s="38"/>
      <c r="O20" s="38"/>
    </row>
    <row r="21" spans="1:15" ht="14.4" x14ac:dyDescent="0.3">
      <c r="B21" s="31" t="s">
        <v>20</v>
      </c>
      <c r="C21" s="32"/>
      <c r="D21" s="119">
        <f>SUM(D19+D20)</f>
        <v>165000</v>
      </c>
    </row>
    <row r="22" spans="1:15" ht="14.4" x14ac:dyDescent="0.3">
      <c r="D22" s="116"/>
      <c r="H22" s="25"/>
      <c r="J22" s="25"/>
      <c r="L22" s="38"/>
    </row>
    <row r="23" spans="1:15" ht="15.6" x14ac:dyDescent="0.3">
      <c r="B23" s="40" t="s">
        <v>21</v>
      </c>
      <c r="C23" s="32"/>
      <c r="D23" s="120">
        <f>SUM(D11,D21)</f>
        <v>535000</v>
      </c>
    </row>
    <row r="24" spans="1:15" ht="15" customHeight="1" x14ac:dyDescent="0.3">
      <c r="D24" s="116"/>
    </row>
    <row r="25" spans="1:15" ht="17.399999999999999" x14ac:dyDescent="0.3">
      <c r="B25" s="27" t="s">
        <v>22</v>
      </c>
      <c r="D25" s="116"/>
    </row>
    <row r="26" spans="1:15" ht="15" customHeight="1" x14ac:dyDescent="0.3">
      <c r="D26" s="116"/>
    </row>
    <row r="27" spans="1:15" ht="15.6" x14ac:dyDescent="0.3">
      <c r="B27" s="28" t="s">
        <v>23</v>
      </c>
      <c r="D27" s="116"/>
    </row>
    <row r="28" spans="1:15" ht="15" customHeight="1" x14ac:dyDescent="0.3">
      <c r="A28" s="179">
        <v>2100</v>
      </c>
      <c r="B28" s="22" t="s">
        <v>24</v>
      </c>
      <c r="D28" s="116">
        <v>80000</v>
      </c>
    </row>
    <row r="29" spans="1:15" ht="15" customHeight="1" x14ac:dyDescent="0.3">
      <c r="A29" s="179">
        <v>2110</v>
      </c>
      <c r="B29" s="22" t="s">
        <v>25</v>
      </c>
      <c r="D29" s="116">
        <v>50000</v>
      </c>
    </row>
    <row r="30" spans="1:15" ht="14.4" x14ac:dyDescent="0.3">
      <c r="A30" s="179">
        <v>2120</v>
      </c>
      <c r="B30" s="22" t="s">
        <v>26</v>
      </c>
      <c r="D30" s="116">
        <v>30000</v>
      </c>
    </row>
    <row r="31" spans="1:15" ht="14.4" x14ac:dyDescent="0.3">
      <c r="A31" s="179">
        <v>2130</v>
      </c>
      <c r="B31" s="22" t="s">
        <v>27</v>
      </c>
      <c r="D31" s="116">
        <v>30000</v>
      </c>
    </row>
    <row r="32" spans="1:15" ht="14.4" x14ac:dyDescent="0.3">
      <c r="A32" s="179">
        <v>2140</v>
      </c>
      <c r="B32" s="22" t="s">
        <v>28</v>
      </c>
      <c r="D32" s="116">
        <v>10000</v>
      </c>
    </row>
    <row r="33" spans="1:12" ht="14.4" x14ac:dyDescent="0.3">
      <c r="B33" s="31" t="s">
        <v>29</v>
      </c>
      <c r="C33" s="32"/>
      <c r="D33" s="117">
        <f>SUM(D28:D32)</f>
        <v>200000</v>
      </c>
    </row>
    <row r="34" spans="1:12" ht="15" customHeight="1" x14ac:dyDescent="0.3">
      <c r="D34" s="116"/>
    </row>
    <row r="35" spans="1:12" ht="15.6" x14ac:dyDescent="0.3">
      <c r="B35" s="28" t="s">
        <v>30</v>
      </c>
      <c r="D35" s="116"/>
    </row>
    <row r="36" spans="1:12" ht="14.4" x14ac:dyDescent="0.3">
      <c r="A36" s="179">
        <v>2210</v>
      </c>
      <c r="B36" s="22" t="s">
        <v>31</v>
      </c>
      <c r="D36" s="116">
        <v>90000</v>
      </c>
    </row>
    <row r="37" spans="1:12" ht="14.4" x14ac:dyDescent="0.3">
      <c r="A37" s="179">
        <v>2220</v>
      </c>
      <c r="B37" s="22" t="s">
        <v>32</v>
      </c>
      <c r="D37" s="121">
        <v>80000</v>
      </c>
      <c r="H37" s="41" t="s">
        <v>33</v>
      </c>
      <c r="I37" s="42"/>
      <c r="J37" s="42"/>
    </row>
    <row r="38" spans="1:12" ht="14.4" x14ac:dyDescent="0.3">
      <c r="A38" s="179">
        <v>2320</v>
      </c>
      <c r="B38" s="22" t="s">
        <v>34</v>
      </c>
      <c r="D38" s="116">
        <v>50000</v>
      </c>
      <c r="H38" s="43">
        <f>D$41</f>
        <v>420000</v>
      </c>
      <c r="I38" s="44" t="s">
        <v>13</v>
      </c>
      <c r="J38" s="43">
        <f>D37+D47</f>
        <v>195000</v>
      </c>
      <c r="K38" s="44" t="s">
        <v>14</v>
      </c>
      <c r="L38" s="45">
        <f>(D$41/(D$47+D37))</f>
        <v>2.1538461538461537</v>
      </c>
    </row>
    <row r="39" spans="1:12" ht="14.4" x14ac:dyDescent="0.3">
      <c r="B39" s="31" t="s">
        <v>35</v>
      </c>
      <c r="C39" s="32"/>
      <c r="D39" s="119">
        <f>SUM(D36:D38)</f>
        <v>220000</v>
      </c>
    </row>
    <row r="40" spans="1:12" ht="14.4" x14ac:dyDescent="0.3">
      <c r="D40" s="116"/>
    </row>
    <row r="41" spans="1:12" ht="15.6" x14ac:dyDescent="0.3">
      <c r="B41" s="40" t="s">
        <v>36</v>
      </c>
      <c r="C41" s="32"/>
      <c r="D41" s="122">
        <f>SUM(D33,D39)</f>
        <v>420000</v>
      </c>
    </row>
    <row r="42" spans="1:12" ht="15" customHeight="1" x14ac:dyDescent="0.3">
      <c r="D42" s="116"/>
    </row>
    <row r="43" spans="1:12" ht="17.399999999999999" x14ac:dyDescent="0.3">
      <c r="B43" s="27" t="s">
        <v>37</v>
      </c>
      <c r="D43" s="116"/>
    </row>
    <row r="44" spans="1:12" ht="14.4" x14ac:dyDescent="0.3">
      <c r="A44" s="179">
        <v>3100</v>
      </c>
      <c r="B44" s="22" t="s">
        <v>38</v>
      </c>
      <c r="D44" s="116">
        <v>50000</v>
      </c>
    </row>
    <row r="45" spans="1:12" ht="14.4" x14ac:dyDescent="0.3">
      <c r="A45" s="179">
        <v>3110</v>
      </c>
      <c r="B45" s="22" t="s">
        <v>39</v>
      </c>
      <c r="D45" s="116">
        <v>34000</v>
      </c>
    </row>
    <row r="46" spans="1:12" ht="14.4" x14ac:dyDescent="0.3">
      <c r="A46" s="179">
        <v>3120</v>
      </c>
      <c r="B46" s="22" t="s">
        <v>40</v>
      </c>
      <c r="D46" s="116">
        <v>31000</v>
      </c>
    </row>
    <row r="47" spans="1:12" ht="14.4" x14ac:dyDescent="0.3">
      <c r="B47" s="34" t="s">
        <v>41</v>
      </c>
      <c r="D47" s="122">
        <f>SUM(D44:D46)</f>
        <v>115000</v>
      </c>
    </row>
    <row r="48" spans="1:12" ht="15" customHeight="1" x14ac:dyDescent="0.3">
      <c r="D48" s="116"/>
    </row>
    <row r="49" spans="2:16" ht="17.399999999999999" x14ac:dyDescent="0.3">
      <c r="B49" s="46" t="s">
        <v>42</v>
      </c>
      <c r="C49" s="32"/>
      <c r="D49" s="119">
        <f>SUM(D41,D47)</f>
        <v>535000</v>
      </c>
    </row>
    <row r="51" spans="2:16" ht="15.75" customHeight="1" x14ac:dyDescent="0.3">
      <c r="B51" s="620" t="s">
        <v>43</v>
      </c>
      <c r="C51" s="620"/>
      <c r="D51" s="620"/>
      <c r="E51" s="620"/>
      <c r="F51" s="620"/>
      <c r="G51" s="620"/>
      <c r="H51" s="620"/>
      <c r="I51" s="620"/>
      <c r="J51" s="620"/>
      <c r="K51" s="620"/>
      <c r="L51" s="620"/>
      <c r="M51" s="620"/>
      <c r="N51" s="620"/>
      <c r="O51" s="620"/>
      <c r="P51" s="620"/>
    </row>
  </sheetData>
  <sheetProtection algorithmName="SHA-512" hashValue="4Q80bmwqvmuSasZ8Jb7IbwIYO/qTSko0TpaHMPMrt+w1Xi5xkE7Yr2c/QgUAbAUejDpf+t0pgwooQRfep9l52w==" saltValue="L9A3mAh+ip2nWYemZC7oHA==" spinCount="100000" sheet="1" objects="1" scenarios="1"/>
  <mergeCells count="1">
    <mergeCell ref="B51:P51"/>
  </mergeCells>
  <pageMargins left="0.70866141732283472" right="0.70866141732283472" top="0.74803149606299213" bottom="0.74803149606299213" header="0.31496062992125984" footer="0.31496062992125984"/>
  <pageSetup scale="54" fitToHeight="0" orientation="portrait" verticalDpi="0" r:id="rId1"/>
  <headerFooter>
    <oddFooter>&amp;R&amp;N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2625F-16F2-49A4-B71E-97F7C677A944}">
  <dimension ref="A1:P40"/>
  <sheetViews>
    <sheetView topLeftCell="A31" workbookViewId="0">
      <selection activeCell="A40" sqref="A40:P40"/>
    </sheetView>
  </sheetViews>
  <sheetFormatPr defaultRowHeight="14.4" x14ac:dyDescent="0.3"/>
  <cols>
    <col min="1" max="1" width="37.88671875" customWidth="1"/>
    <col min="2" max="4" width="14.109375" style="179" customWidth="1"/>
    <col min="5" max="5" width="14.109375" style="500" customWidth="1"/>
    <col min="6" max="10" width="14.109375" style="179" customWidth="1"/>
  </cols>
  <sheetData>
    <row r="1" spans="1:8" ht="63.75" customHeight="1" x14ac:dyDescent="0.3"/>
    <row r="2" spans="1:8" x14ac:dyDescent="0.3">
      <c r="A2" s="469"/>
      <c r="B2" s="480" t="s">
        <v>47</v>
      </c>
      <c r="C2" s="481" t="s">
        <v>48</v>
      </c>
      <c r="D2" s="482" t="s">
        <v>173</v>
      </c>
      <c r="E2" s="499" t="s">
        <v>174</v>
      </c>
      <c r="F2" s="481" t="s">
        <v>49</v>
      </c>
      <c r="G2" s="482" t="s">
        <v>175</v>
      </c>
      <c r="H2" s="482" t="s">
        <v>176</v>
      </c>
    </row>
    <row r="3" spans="1:8" x14ac:dyDescent="0.3">
      <c r="A3" s="470" t="s">
        <v>177</v>
      </c>
      <c r="B3" t="s">
        <v>167</v>
      </c>
      <c r="C3" t="s">
        <v>167</v>
      </c>
      <c r="D3"/>
      <c r="E3"/>
      <c r="F3" t="s">
        <v>167</v>
      </c>
      <c r="G3"/>
      <c r="H3"/>
    </row>
    <row r="4" spans="1:8" x14ac:dyDescent="0.3">
      <c r="A4" s="487" t="s">
        <v>102</v>
      </c>
      <c r="B4" s="489">
        <v>64090</v>
      </c>
      <c r="C4" s="484">
        <v>59599</v>
      </c>
      <c r="D4" s="491">
        <v>-4491</v>
      </c>
      <c r="E4" s="492">
        <v>-7.0099999999999996E-2</v>
      </c>
      <c r="F4" s="495">
        <v>46783</v>
      </c>
      <c r="G4" s="491">
        <v>-12816</v>
      </c>
      <c r="H4" s="492">
        <v>-0.215</v>
      </c>
    </row>
    <row r="5" spans="1:8" x14ac:dyDescent="0.3">
      <c r="A5" s="487" t="s">
        <v>103</v>
      </c>
      <c r="B5" s="490">
        <v>11832</v>
      </c>
      <c r="C5" s="486">
        <v>10691</v>
      </c>
      <c r="D5" s="491">
        <v>-1141</v>
      </c>
      <c r="E5" s="492">
        <v>-9.64E-2</v>
      </c>
      <c r="F5" s="496">
        <v>8392</v>
      </c>
      <c r="G5" s="491">
        <v>-2299</v>
      </c>
      <c r="H5" s="492">
        <v>-0.215</v>
      </c>
    </row>
    <row r="6" spans="1:8" x14ac:dyDescent="0.3">
      <c r="A6" s="487" t="s">
        <v>104</v>
      </c>
      <c r="B6" s="490">
        <v>8874</v>
      </c>
      <c r="C6" s="490">
        <v>7785</v>
      </c>
      <c r="D6" s="491">
        <v>-1089</v>
      </c>
      <c r="E6" s="492">
        <v>-0.1227</v>
      </c>
      <c r="F6" s="497">
        <v>6111</v>
      </c>
      <c r="G6" s="491">
        <v>-1674</v>
      </c>
      <c r="H6" s="492">
        <v>-0.215</v>
      </c>
    </row>
    <row r="7" spans="1:8" x14ac:dyDescent="0.3">
      <c r="A7" s="487" t="s">
        <v>105</v>
      </c>
      <c r="B7" s="486">
        <v>15230</v>
      </c>
      <c r="C7" s="486">
        <v>14857</v>
      </c>
      <c r="D7" s="491">
        <v>-373</v>
      </c>
      <c r="E7" s="492">
        <v>-2.4500000000000001E-2</v>
      </c>
      <c r="F7" s="496">
        <v>13806</v>
      </c>
      <c r="G7" s="491">
        <v>-1051</v>
      </c>
      <c r="H7" s="492">
        <v>-7.0699999999999999E-2</v>
      </c>
    </row>
    <row r="8" spans="1:8" x14ac:dyDescent="0.3">
      <c r="A8" s="572" t="s">
        <v>61</v>
      </c>
      <c r="B8" s="573">
        <v>100026</v>
      </c>
      <c r="C8" s="573">
        <v>92932</v>
      </c>
      <c r="D8" s="574">
        <v>-7094</v>
      </c>
      <c r="E8" s="575">
        <v>-7.0900000000000005E-2</v>
      </c>
      <c r="F8" s="576">
        <v>75093</v>
      </c>
      <c r="G8" s="574">
        <v>-17839</v>
      </c>
      <c r="H8" s="575">
        <v>-0.192</v>
      </c>
    </row>
    <row r="9" spans="1:8" x14ac:dyDescent="0.3">
      <c r="A9" s="472" t="s">
        <v>167</v>
      </c>
      <c r="B9" t="s">
        <v>167</v>
      </c>
      <c r="C9" t="s">
        <v>167</v>
      </c>
      <c r="D9"/>
      <c r="E9"/>
      <c r="F9" t="s">
        <v>167</v>
      </c>
      <c r="G9"/>
      <c r="H9"/>
    </row>
    <row r="10" spans="1:8" x14ac:dyDescent="0.3">
      <c r="A10" s="473" t="s">
        <v>106</v>
      </c>
      <c r="B10" t="s">
        <v>167</v>
      </c>
      <c r="C10" t="s">
        <v>167</v>
      </c>
      <c r="D10"/>
      <c r="E10"/>
      <c r="F10" t="s">
        <v>167</v>
      </c>
      <c r="G10"/>
      <c r="H10"/>
    </row>
    <row r="11" spans="1:8" x14ac:dyDescent="0.3">
      <c r="A11" s="542" t="s">
        <v>112</v>
      </c>
      <c r="B11" s="543">
        <v>44413</v>
      </c>
      <c r="C11" s="543">
        <v>39337</v>
      </c>
      <c r="D11" s="544">
        <v>-5076</v>
      </c>
      <c r="E11" s="545">
        <v>-0.1143</v>
      </c>
      <c r="F11" s="546">
        <v>30722</v>
      </c>
      <c r="G11" s="544">
        <v>-8615</v>
      </c>
      <c r="H11" s="492">
        <v>-0.219</v>
      </c>
    </row>
    <row r="12" spans="1:8" x14ac:dyDescent="0.3">
      <c r="A12" s="552" t="s">
        <v>69</v>
      </c>
      <c r="B12" s="553">
        <v>19677</v>
      </c>
      <c r="C12" s="553">
        <v>20261</v>
      </c>
      <c r="D12" s="554">
        <v>584</v>
      </c>
      <c r="E12" s="555">
        <v>2.9700000000000001E-2</v>
      </c>
      <c r="F12" s="556">
        <v>16061</v>
      </c>
      <c r="G12" s="557">
        <v>-4200</v>
      </c>
      <c r="H12" s="492">
        <v>-0.20730000000000001</v>
      </c>
    </row>
    <row r="13" spans="1:8" x14ac:dyDescent="0.3">
      <c r="A13" s="577" t="s">
        <v>70</v>
      </c>
      <c r="B13" s="578">
        <v>0.307</v>
      </c>
      <c r="C13" s="578">
        <v>0.34</v>
      </c>
      <c r="D13" s="578">
        <v>3.3000000000000002E-2</v>
      </c>
      <c r="E13" s="549">
        <v>2.9700000000000001E-2</v>
      </c>
      <c r="F13" s="578">
        <v>0.34329999999999999</v>
      </c>
      <c r="G13" s="579"/>
      <c r="H13" s="580">
        <v>3.3E-3</v>
      </c>
    </row>
    <row r="14" spans="1:8" x14ac:dyDescent="0.3">
      <c r="A14" s="471" t="s">
        <v>167</v>
      </c>
      <c r="B14" t="s">
        <v>167</v>
      </c>
      <c r="C14" t="s">
        <v>167</v>
      </c>
      <c r="D14"/>
      <c r="E14"/>
      <c r="F14" t="s">
        <v>167</v>
      </c>
      <c r="G14"/>
      <c r="H14"/>
    </row>
    <row r="15" spans="1:8" x14ac:dyDescent="0.3">
      <c r="A15" s="473" t="s">
        <v>113</v>
      </c>
      <c r="B15" t="s">
        <v>167</v>
      </c>
      <c r="C15" t="s">
        <v>167</v>
      </c>
      <c r="D15"/>
      <c r="E15"/>
      <c r="F15" t="s">
        <v>167</v>
      </c>
      <c r="G15"/>
      <c r="H15"/>
    </row>
    <row r="16" spans="1:8" x14ac:dyDescent="0.3">
      <c r="A16" s="562" t="s">
        <v>115</v>
      </c>
      <c r="B16" s="543">
        <v>6965</v>
      </c>
      <c r="C16" s="548">
        <v>7020</v>
      </c>
      <c r="D16" s="548">
        <v>55</v>
      </c>
      <c r="E16" s="549">
        <v>7.9000000000000008E-3</v>
      </c>
      <c r="F16" s="548">
        <v>4644</v>
      </c>
      <c r="G16" s="563">
        <v>-2376</v>
      </c>
      <c r="H16" s="492">
        <v>-0.33850000000000002</v>
      </c>
    </row>
    <row r="17" spans="1:8" x14ac:dyDescent="0.3">
      <c r="A17" s="562" t="s">
        <v>69</v>
      </c>
      <c r="B17" s="543">
        <v>4867</v>
      </c>
      <c r="C17" s="548">
        <v>3671</v>
      </c>
      <c r="D17" s="544">
        <v>-1196</v>
      </c>
      <c r="E17" s="545">
        <v>-0.2457</v>
      </c>
      <c r="F17" s="548">
        <v>3748</v>
      </c>
      <c r="G17" s="565">
        <v>77</v>
      </c>
      <c r="H17" s="494">
        <v>2.1000000000000001E-2</v>
      </c>
    </row>
    <row r="18" spans="1:8" x14ac:dyDescent="0.3">
      <c r="A18" s="572" t="s">
        <v>70</v>
      </c>
      <c r="B18" s="581">
        <v>0.4113</v>
      </c>
      <c r="C18" s="581">
        <v>0.34339999999999998</v>
      </c>
      <c r="D18" s="582"/>
      <c r="E18" s="583">
        <v>-6.7900000000000002E-2</v>
      </c>
      <c r="F18" s="584">
        <v>0.4466</v>
      </c>
      <c r="G18" s="579"/>
      <c r="H18" s="578">
        <v>0.1032</v>
      </c>
    </row>
    <row r="19" spans="1:8" x14ac:dyDescent="0.3">
      <c r="A19" t="s">
        <v>167</v>
      </c>
      <c r="B19" t="s">
        <v>167</v>
      </c>
      <c r="C19" t="s">
        <v>167</v>
      </c>
      <c r="D19"/>
      <c r="E19"/>
      <c r="F19" t="s">
        <v>167</v>
      </c>
      <c r="G19"/>
      <c r="H19"/>
    </row>
    <row r="20" spans="1:8" x14ac:dyDescent="0.3">
      <c r="A20" s="473" t="s">
        <v>116</v>
      </c>
      <c r="B20" t="s">
        <v>167</v>
      </c>
      <c r="C20" t="s">
        <v>167</v>
      </c>
      <c r="D20"/>
      <c r="E20"/>
      <c r="F20" t="s">
        <v>167</v>
      </c>
      <c r="G20"/>
      <c r="H20"/>
    </row>
    <row r="21" spans="1:8" x14ac:dyDescent="0.3">
      <c r="A21" s="562" t="s">
        <v>120</v>
      </c>
      <c r="B21" s="548">
        <v>8084</v>
      </c>
      <c r="C21" s="548">
        <v>7787</v>
      </c>
      <c r="D21" s="544">
        <v>-297</v>
      </c>
      <c r="E21" s="545">
        <v>-3.6700000000000003E-2</v>
      </c>
      <c r="F21" s="548">
        <v>6761</v>
      </c>
      <c r="G21" s="563">
        <v>-1026</v>
      </c>
      <c r="H21" s="492">
        <v>-0.1318</v>
      </c>
    </row>
    <row r="22" spans="1:8" x14ac:dyDescent="0.3">
      <c r="A22" s="562" t="s">
        <v>69</v>
      </c>
      <c r="B22" s="548">
        <v>790</v>
      </c>
      <c r="C22" s="544">
        <v>-2</v>
      </c>
      <c r="D22" s="544">
        <v>-792</v>
      </c>
      <c r="E22" s="545">
        <v>-1.0024999999999999</v>
      </c>
      <c r="F22" s="544">
        <v>-650</v>
      </c>
      <c r="G22" s="564">
        <v>-648</v>
      </c>
      <c r="H22" s="492">
        <v>-0.83</v>
      </c>
    </row>
    <row r="23" spans="1:8" x14ac:dyDescent="0.3">
      <c r="A23" s="585" t="s">
        <v>70</v>
      </c>
      <c r="B23" s="581">
        <v>8.8999999999999996E-2</v>
      </c>
      <c r="C23" s="586">
        <v>-2.0000000000000001E-4</v>
      </c>
      <c r="D23" s="582"/>
      <c r="E23" s="583">
        <v>-8.9200000000000002E-2</v>
      </c>
      <c r="F23" s="587">
        <v>-0.10630000000000001</v>
      </c>
      <c r="G23" s="579"/>
      <c r="H23" s="575">
        <v>-0.1061</v>
      </c>
    </row>
    <row r="24" spans="1:8" x14ac:dyDescent="0.3">
      <c r="A24" s="471" t="s">
        <v>167</v>
      </c>
      <c r="B24" t="s">
        <v>167</v>
      </c>
      <c r="C24" t="s">
        <v>167</v>
      </c>
      <c r="D24"/>
      <c r="E24"/>
      <c r="F24" t="s">
        <v>167</v>
      </c>
      <c r="G24"/>
      <c r="H24"/>
    </row>
    <row r="25" spans="1:8" x14ac:dyDescent="0.3">
      <c r="A25" s="473" t="s">
        <v>121</v>
      </c>
      <c r="B25" t="s">
        <v>167</v>
      </c>
      <c r="C25" t="s">
        <v>167</v>
      </c>
      <c r="D25"/>
      <c r="E25"/>
      <c r="F25" t="s">
        <v>167</v>
      </c>
      <c r="G25"/>
      <c r="H25"/>
    </row>
    <row r="26" spans="1:8" x14ac:dyDescent="0.3">
      <c r="A26" s="562" t="s">
        <v>123</v>
      </c>
      <c r="B26" s="543">
        <v>7424</v>
      </c>
      <c r="C26" s="543">
        <v>7302</v>
      </c>
      <c r="D26" s="544">
        <v>-122</v>
      </c>
      <c r="E26" s="545">
        <v>-1.6400000000000001E-2</v>
      </c>
      <c r="F26" s="551">
        <v>6924</v>
      </c>
      <c r="G26" s="491">
        <v>-378</v>
      </c>
      <c r="H26" s="492">
        <v>-5.1799999999999999E-2</v>
      </c>
    </row>
    <row r="27" spans="1:8" x14ac:dyDescent="0.3">
      <c r="A27" s="562" t="s">
        <v>69</v>
      </c>
      <c r="B27" s="547">
        <v>7806</v>
      </c>
      <c r="C27" s="547">
        <v>7555</v>
      </c>
      <c r="D27" s="544">
        <v>-251</v>
      </c>
      <c r="E27" s="545">
        <v>-3.2199999999999999E-2</v>
      </c>
      <c r="F27" s="550">
        <v>6882</v>
      </c>
      <c r="G27" s="491">
        <v>-673</v>
      </c>
      <c r="H27" s="492">
        <v>-8.9099999999999999E-2</v>
      </c>
    </row>
    <row r="28" spans="1:8" x14ac:dyDescent="0.3">
      <c r="A28" s="572" t="s">
        <v>70</v>
      </c>
      <c r="B28" s="581">
        <v>0.51249999999999996</v>
      </c>
      <c r="C28" s="581">
        <v>0.50849999999999995</v>
      </c>
      <c r="D28" s="579"/>
      <c r="E28" s="578">
        <v>-4.0000000000000001E-3</v>
      </c>
      <c r="F28" s="584">
        <v>0.4985</v>
      </c>
      <c r="G28" s="579"/>
      <c r="H28" s="575">
        <v>-0.01</v>
      </c>
    </row>
    <row r="29" spans="1:8" x14ac:dyDescent="0.3">
      <c r="A29" s="471" t="s">
        <v>167</v>
      </c>
      <c r="B29" t="s">
        <v>167</v>
      </c>
      <c r="C29" t="s">
        <v>167</v>
      </c>
      <c r="D29"/>
      <c r="E29"/>
      <c r="F29" t="s">
        <v>167</v>
      </c>
      <c r="G29"/>
      <c r="H29"/>
    </row>
    <row r="30" spans="1:8" x14ac:dyDescent="0.3">
      <c r="A30" s="570" t="s">
        <v>124</v>
      </c>
      <c r="B30" s="530">
        <v>66886</v>
      </c>
      <c r="C30" s="530">
        <v>61446</v>
      </c>
      <c r="D30" s="544">
        <v>-5440</v>
      </c>
      <c r="E30" s="545">
        <v>-8.1299999999999997E-2</v>
      </c>
      <c r="F30" s="571">
        <v>49050</v>
      </c>
      <c r="G30" s="544">
        <v>-12396</v>
      </c>
      <c r="H30" s="545">
        <v>-0.20169999999999999</v>
      </c>
    </row>
    <row r="31" spans="1:8" x14ac:dyDescent="0.3">
      <c r="A31" s="559" t="s">
        <v>125</v>
      </c>
      <c r="B31" s="560">
        <v>33140</v>
      </c>
      <c r="C31" s="560">
        <v>31486</v>
      </c>
      <c r="D31" s="539">
        <v>-1654</v>
      </c>
      <c r="E31" s="540">
        <v>-4.99E-2</v>
      </c>
      <c r="F31" s="561">
        <v>26042</v>
      </c>
      <c r="G31" s="539">
        <v>-5444</v>
      </c>
      <c r="H31" s="540">
        <v>-0.1729</v>
      </c>
    </row>
    <row r="32" spans="1:8" x14ac:dyDescent="0.3">
      <c r="A32" s="585" t="s">
        <v>126</v>
      </c>
      <c r="B32" s="588">
        <v>0.33129999999999998</v>
      </c>
      <c r="C32" s="588">
        <v>0.33879999999999999</v>
      </c>
      <c r="D32" s="579"/>
      <c r="E32" s="578">
        <v>7.4999999999999997E-3</v>
      </c>
      <c r="F32" s="589">
        <v>0.3468</v>
      </c>
      <c r="G32" s="579"/>
      <c r="H32" s="578">
        <v>8.0000000000000002E-3</v>
      </c>
    </row>
    <row r="33" spans="1:16" x14ac:dyDescent="0.3">
      <c r="A33" s="471" t="s">
        <v>167</v>
      </c>
      <c r="B33" t="s">
        <v>167</v>
      </c>
      <c r="C33" t="s">
        <v>167</v>
      </c>
      <c r="D33"/>
      <c r="E33"/>
      <c r="F33" t="s">
        <v>167</v>
      </c>
      <c r="G33"/>
      <c r="H33"/>
    </row>
    <row r="34" spans="1:16" x14ac:dyDescent="0.3">
      <c r="A34" s="479" t="s">
        <v>71</v>
      </c>
      <c r="B34" t="s">
        <v>167</v>
      </c>
      <c r="C34" t="s">
        <v>167</v>
      </c>
      <c r="D34"/>
      <c r="E34"/>
      <c r="F34" t="s">
        <v>167</v>
      </c>
      <c r="G34"/>
      <c r="H34"/>
    </row>
    <row r="35" spans="1:16" x14ac:dyDescent="0.3">
      <c r="A35" s="558" t="s">
        <v>98</v>
      </c>
      <c r="B35" s="548">
        <v>26926</v>
      </c>
      <c r="C35" s="543">
        <v>23363</v>
      </c>
      <c r="D35" s="544">
        <v>-3563</v>
      </c>
      <c r="E35" s="545">
        <v>-0.1323</v>
      </c>
      <c r="F35" s="546">
        <v>21839</v>
      </c>
      <c r="G35" s="491">
        <v>-1524</v>
      </c>
      <c r="H35" s="492">
        <v>-6.5199999999999994E-2</v>
      </c>
    </row>
    <row r="36" spans="1:16" x14ac:dyDescent="0.3">
      <c r="A36" s="566" t="s">
        <v>99</v>
      </c>
      <c r="B36" s="567">
        <v>6213</v>
      </c>
      <c r="C36" s="538">
        <v>8123</v>
      </c>
      <c r="D36" s="568">
        <v>1910</v>
      </c>
      <c r="E36" s="569">
        <v>0.30740000000000001</v>
      </c>
      <c r="F36" s="541">
        <v>4204</v>
      </c>
      <c r="G36" s="539">
        <v>-3919</v>
      </c>
      <c r="H36" s="540">
        <v>-0.48249999999999998</v>
      </c>
    </row>
    <row r="37" spans="1:16" x14ac:dyDescent="0.3">
      <c r="A37" s="572" t="s">
        <v>100</v>
      </c>
      <c r="B37" s="584">
        <v>6.2100000000000002E-2</v>
      </c>
      <c r="C37" s="590">
        <v>8.7400000000000005E-2</v>
      </c>
      <c r="D37" s="579"/>
      <c r="E37" s="578">
        <v>2.53E-2</v>
      </c>
      <c r="F37" s="590">
        <v>5.6000000000000001E-2</v>
      </c>
      <c r="G37" s="579"/>
      <c r="H37" s="575">
        <v>-3.1399999999999997E-2</v>
      </c>
    </row>
    <row r="40" spans="1:16" x14ac:dyDescent="0.3">
      <c r="A40" s="631" t="s">
        <v>172</v>
      </c>
      <c r="B40" s="631"/>
      <c r="C40" s="631"/>
      <c r="D40" s="631"/>
      <c r="E40" s="631"/>
      <c r="F40" s="631"/>
      <c r="G40" s="631"/>
      <c r="H40" s="631"/>
      <c r="I40" s="631"/>
      <c r="J40" s="631"/>
      <c r="K40" s="631"/>
      <c r="L40" s="631"/>
      <c r="M40" s="631"/>
      <c r="N40" s="631"/>
      <c r="O40" s="631"/>
      <c r="P40" s="631"/>
    </row>
  </sheetData>
  <sheetProtection algorithmName="SHA-512" hashValue="1rgQlMVdaF7wP55L8qXKj2U98nOcJMBBjmEuFEHo2w8XM52y2s/nhd/x/BsbLXQMqaAlFbUUiGpXBtBfGDEH+g==" saltValue="4DydCzFTlYlyCKEPuHZJ3A==" spinCount="100000" sheet="1" objects="1" scenarios="1"/>
  <mergeCells count="1">
    <mergeCell ref="A40:P40"/>
  </mergeCells>
  <printOptions gridLines="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36D8F-3DAA-43C7-B493-24FDAE7B68F0}">
  <dimension ref="A6:N30"/>
  <sheetViews>
    <sheetView workbookViewId="0">
      <selection activeCell="A24" sqref="A24:N24"/>
    </sheetView>
  </sheetViews>
  <sheetFormatPr defaultColWidth="9.109375" defaultRowHeight="14.4" x14ac:dyDescent="0.3"/>
  <cols>
    <col min="1" max="1" width="34.44140625" style="38" customWidth="1"/>
    <col min="2" max="2" width="12.88671875" style="461" bestFit="1" customWidth="1"/>
    <col min="3" max="4" width="9.109375" style="38"/>
    <col min="5" max="5" width="29.109375" style="38" customWidth="1"/>
    <col min="6" max="16384" width="9.109375" style="38"/>
  </cols>
  <sheetData>
    <row r="6" spans="1:2" x14ac:dyDescent="0.3">
      <c r="A6" s="598">
        <v>45839</v>
      </c>
    </row>
    <row r="9" spans="1:2" x14ac:dyDescent="0.3">
      <c r="A9" s="591" t="s">
        <v>178</v>
      </c>
      <c r="B9" s="594">
        <v>4371</v>
      </c>
    </row>
    <row r="10" spans="1:2" x14ac:dyDescent="0.3">
      <c r="A10" s="592" t="s">
        <v>94</v>
      </c>
      <c r="B10" s="595">
        <v>1250</v>
      </c>
    </row>
    <row r="11" spans="1:2" x14ac:dyDescent="0.3">
      <c r="A11" s="592" t="s">
        <v>179</v>
      </c>
      <c r="B11" s="595">
        <v>13000</v>
      </c>
    </row>
    <row r="12" spans="1:2" x14ac:dyDescent="0.3">
      <c r="A12" s="592" t="s">
        <v>180</v>
      </c>
      <c r="B12" s="596">
        <v>5833</v>
      </c>
    </row>
    <row r="13" spans="1:2" x14ac:dyDescent="0.3">
      <c r="A13" s="592" t="s">
        <v>181</v>
      </c>
      <c r="B13" s="596">
        <v>4000</v>
      </c>
    </row>
    <row r="14" spans="1:2" x14ac:dyDescent="0.3">
      <c r="A14" s="592" t="s">
        <v>182</v>
      </c>
      <c r="B14" s="596">
        <v>91217</v>
      </c>
    </row>
    <row r="15" spans="1:2" x14ac:dyDescent="0.3">
      <c r="A15" s="592" t="s">
        <v>183</v>
      </c>
      <c r="B15" s="596">
        <v>0</v>
      </c>
    </row>
    <row r="16" spans="1:2" x14ac:dyDescent="0.3">
      <c r="A16" s="592" t="s">
        <v>184</v>
      </c>
      <c r="B16" s="596">
        <v>6000</v>
      </c>
    </row>
    <row r="17" spans="1:14" x14ac:dyDescent="0.3">
      <c r="A17" s="593" t="s">
        <v>185</v>
      </c>
      <c r="B17" s="597">
        <f>$B9+$B10-$B14+$B11-$B13+$B15-$B12-$B16</f>
        <v>-88429</v>
      </c>
    </row>
    <row r="19" spans="1:14" x14ac:dyDescent="0.3">
      <c r="A19" s="605"/>
      <c r="B19" s="605"/>
      <c r="C19" s="605"/>
      <c r="D19" s="605"/>
      <c r="E19" s="605"/>
      <c r="F19" s="605"/>
      <c r="G19" s="605"/>
      <c r="H19" s="605"/>
      <c r="I19" s="605"/>
      <c r="J19" s="605"/>
      <c r="K19" s="605"/>
      <c r="L19" s="605"/>
      <c r="M19" s="605"/>
      <c r="N19" s="605"/>
    </row>
    <row r="20" spans="1:14" x14ac:dyDescent="0.3">
      <c r="A20" s="498"/>
      <c r="B20" s="498"/>
    </row>
    <row r="21" spans="1:14" x14ac:dyDescent="0.3">
      <c r="A21" s="411"/>
      <c r="B21" s="468"/>
    </row>
    <row r="22" spans="1:14" x14ac:dyDescent="0.3">
      <c r="A22" s="411"/>
      <c r="B22" s="468"/>
    </row>
    <row r="23" spans="1:14" x14ac:dyDescent="0.3">
      <c r="A23" s="411"/>
      <c r="B23" s="468"/>
    </row>
    <row r="24" spans="1:14" x14ac:dyDescent="0.3">
      <c r="A24" s="631" t="s">
        <v>172</v>
      </c>
      <c r="B24" s="631"/>
      <c r="C24" s="631"/>
      <c r="D24" s="631"/>
      <c r="E24" s="631"/>
      <c r="F24" s="631"/>
      <c r="G24" s="631"/>
      <c r="H24" s="631"/>
      <c r="I24" s="631"/>
      <c r="J24" s="631"/>
      <c r="K24" s="631"/>
      <c r="L24" s="631"/>
      <c r="M24" s="631"/>
      <c r="N24" s="631"/>
    </row>
    <row r="25" spans="1:14" x14ac:dyDescent="0.3">
      <c r="A25" s="411"/>
      <c r="B25" s="468"/>
    </row>
    <row r="26" spans="1:14" x14ac:dyDescent="0.3">
      <c r="A26" s="411"/>
      <c r="B26" s="468"/>
    </row>
    <row r="27" spans="1:14" x14ac:dyDescent="0.3">
      <c r="A27" s="411"/>
      <c r="B27" s="411"/>
    </row>
    <row r="28" spans="1:14" x14ac:dyDescent="0.3">
      <c r="A28" s="411"/>
      <c r="B28" s="468"/>
    </row>
    <row r="29" spans="1:14" x14ac:dyDescent="0.3">
      <c r="A29" s="411"/>
      <c r="B29" s="411"/>
    </row>
    <row r="30" spans="1:14" x14ac:dyDescent="0.3">
      <c r="A30" s="411"/>
      <c r="B30" s="468"/>
    </row>
  </sheetData>
  <sheetProtection algorithmName="SHA-512" hashValue="zjBkQnJgeYQylimQWVuA4UvVwnm5CQzpWMlW0tHWRUg5haTCzweBZP1BhSAJzh/QP3XbsaXPc52hsE5fDuT8tA==" saltValue="3E4Msljw8TsKZAt97tFyHQ==" spinCount="100000" sheet="1" objects="1" scenarios="1"/>
  <mergeCells count="1">
    <mergeCell ref="A24:N2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11476-AB4B-4019-95A1-C0E37041D0FD}">
  <dimension ref="A1:N31"/>
  <sheetViews>
    <sheetView topLeftCell="A22" workbookViewId="0">
      <selection activeCell="A31" sqref="A31:N31"/>
    </sheetView>
  </sheetViews>
  <sheetFormatPr defaultRowHeight="14.4" x14ac:dyDescent="0.3"/>
  <cols>
    <col min="1" max="1" width="37.44140625" customWidth="1"/>
    <col min="2" max="2" width="13.33203125" customWidth="1"/>
  </cols>
  <sheetData>
    <row r="1" spans="1:4" ht="53.25" customHeight="1" x14ac:dyDescent="0.3"/>
    <row r="2" spans="1:4" ht="18" x14ac:dyDescent="0.35">
      <c r="A2" s="415"/>
      <c r="B2" s="415"/>
    </row>
    <row r="3" spans="1:4" x14ac:dyDescent="0.3">
      <c r="A3" s="414" t="s">
        <v>186</v>
      </c>
      <c r="B3" s="407">
        <f>'TTM Orignal - Units and BE'!AZ89/12</f>
        <v>21071.748304227363</v>
      </c>
      <c r="D3" t="s">
        <v>187</v>
      </c>
    </row>
    <row r="4" spans="1:4" x14ac:dyDescent="0.3">
      <c r="A4" s="60" t="s">
        <v>188</v>
      </c>
      <c r="B4" s="413">
        <f>'TTM Orignal - Units and BE'!AZ68</f>
        <v>0.31363862345210397</v>
      </c>
      <c r="D4" t="s">
        <v>187</v>
      </c>
    </row>
    <row r="5" spans="1:4" x14ac:dyDescent="0.3">
      <c r="A5" s="60" t="s">
        <v>189</v>
      </c>
      <c r="B5" s="412">
        <f>B3/B4</f>
        <v>67184.800367692107</v>
      </c>
    </row>
    <row r="7" spans="1:4" x14ac:dyDescent="0.3">
      <c r="A7" s="411"/>
      <c r="B7" s="411"/>
    </row>
    <row r="8" spans="1:4" x14ac:dyDescent="0.3">
      <c r="A8" s="437"/>
      <c r="B8" s="411"/>
    </row>
    <row r="14" spans="1:4" x14ac:dyDescent="0.3">
      <c r="A14" s="410" t="s">
        <v>190</v>
      </c>
      <c r="B14" s="407">
        <v>100000</v>
      </c>
    </row>
    <row r="15" spans="1:4" x14ac:dyDescent="0.3">
      <c r="A15" s="408" t="s">
        <v>188</v>
      </c>
      <c r="B15" s="409">
        <f>'TTM Orignal - Units and BE'!AZ68</f>
        <v>0.31363862345210397</v>
      </c>
      <c r="D15" t="s">
        <v>187</v>
      </c>
    </row>
    <row r="16" spans="1:4" x14ac:dyDescent="0.3">
      <c r="A16" s="408" t="s">
        <v>191</v>
      </c>
      <c r="B16" s="407">
        <f>B14/B15</f>
        <v>318838.28241348942</v>
      </c>
    </row>
    <row r="20" spans="1:14" x14ac:dyDescent="0.3">
      <c r="A20" s="406" t="s">
        <v>192</v>
      </c>
      <c r="B20" s="86"/>
    </row>
    <row r="21" spans="1:14" x14ac:dyDescent="0.3">
      <c r="A21" s="86" t="s">
        <v>193</v>
      </c>
      <c r="B21" s="208">
        <f>SUM('TTM Orignal - Units and BE'!AE73:'TTM Orignal - Units and BE'!AU73)</f>
        <v>19835.599999999999</v>
      </c>
      <c r="D21" t="s">
        <v>187</v>
      </c>
    </row>
    <row r="22" spans="1:14" x14ac:dyDescent="0.3">
      <c r="A22" s="86" t="s">
        <v>194</v>
      </c>
      <c r="B22" s="208">
        <f>SUM('TTM Orignal - Units and BE'!AE20:'TTM Orignal - Units and BE'!AU20)</f>
        <v>17428.181587654206</v>
      </c>
      <c r="D22" t="s">
        <v>187</v>
      </c>
    </row>
    <row r="23" spans="1:14" x14ac:dyDescent="0.3">
      <c r="A23" s="86" t="s">
        <v>195</v>
      </c>
      <c r="B23" s="208">
        <f>B21+B22</f>
        <v>37263.781587654201</v>
      </c>
    </row>
    <row r="24" spans="1:14" x14ac:dyDescent="0.3">
      <c r="A24" s="86" t="s">
        <v>196</v>
      </c>
      <c r="B24" s="405">
        <f>'TTM Orignal - Units and BE'!BB24</f>
        <v>0.33020442906400782</v>
      </c>
      <c r="D24" t="s">
        <v>187</v>
      </c>
    </row>
    <row r="25" spans="1:14" x14ac:dyDescent="0.3">
      <c r="A25" s="86" t="s">
        <v>197</v>
      </c>
      <c r="B25" s="404">
        <f>B23/B24</f>
        <v>112850.64132326002</v>
      </c>
    </row>
    <row r="26" spans="1:14" ht="6.75" customHeight="1" x14ac:dyDescent="0.3">
      <c r="A26" s="86"/>
      <c r="B26" s="86"/>
    </row>
    <row r="27" spans="1:14" x14ac:dyDescent="0.3">
      <c r="A27" s="403" t="s">
        <v>198</v>
      </c>
      <c r="B27" s="401">
        <f>'TTM Orignal - Units and BE'!BA5-'TTM Orignal - Units and BE'!AZ5</f>
        <v>111693.72662499989</v>
      </c>
      <c r="D27" t="s">
        <v>199</v>
      </c>
    </row>
    <row r="28" spans="1:14" x14ac:dyDescent="0.3">
      <c r="A28" s="402" t="s">
        <v>200</v>
      </c>
      <c r="B28" s="401">
        <f>10*'TTM Orignal - Units and BE'!BA13</f>
        <v>152236.11468220336</v>
      </c>
      <c r="D28" t="s">
        <v>201</v>
      </c>
    </row>
    <row r="29" spans="1:14" x14ac:dyDescent="0.3">
      <c r="A29" s="400" t="s">
        <v>202</v>
      </c>
      <c r="B29" s="399">
        <f>B28-B25</f>
        <v>39385.473358943345</v>
      </c>
      <c r="D29" t="s">
        <v>201</v>
      </c>
    </row>
    <row r="30" spans="1:14" x14ac:dyDescent="0.3"/>
    <row r="31" spans="1:14" ht="14.4" customHeight="1" x14ac:dyDescent="0.3">
      <c r="A31" s="631" t="s">
        <v>172</v>
      </c>
      <c r="B31" s="631"/>
      <c r="C31" s="631"/>
      <c r="D31" s="631"/>
      <c r="E31" s="631"/>
      <c r="F31" s="631"/>
      <c r="G31" s="631"/>
      <c r="H31" s="631"/>
      <c r="I31" s="631"/>
      <c r="J31" s="631"/>
      <c r="K31" s="631"/>
      <c r="L31" s="631"/>
      <c r="M31" s="631"/>
      <c r="N31" s="631"/>
    </row>
  </sheetData>
  <sheetProtection algorithmName="SHA-512" hashValue="tV2fOzil4Grqux+QRIevSRmq664upWsUy4DC+35DOkP7YQctvhfs95fnOWDTYPLC40Zt0a2ZtcX37mGGcoquMA==" saltValue="vsstP6K0XP2/DNZZnIWG5A==" spinCount="100000" sheet="1" objects="1" scenarios="1"/>
  <mergeCells count="1">
    <mergeCell ref="A31:N31"/>
  </mergeCells>
  <printOptions gridLines="1"/>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E1F5E-CE95-41B9-9D2B-296B64854D16}">
  <dimension ref="B1:J26"/>
  <sheetViews>
    <sheetView workbookViewId="0">
      <selection activeCell="J1" sqref="B1:J1"/>
    </sheetView>
  </sheetViews>
  <sheetFormatPr defaultRowHeight="14.4" x14ac:dyDescent="0.3"/>
  <cols>
    <col min="1" max="1" width="2.109375" customWidth="1"/>
    <col min="2" max="2" width="32.33203125" customWidth="1"/>
    <col min="3" max="3" width="11.44140625" customWidth="1"/>
    <col min="4" max="4" width="3" customWidth="1"/>
    <col min="5" max="5" width="19.88671875" customWidth="1"/>
    <col min="6" max="6" width="18.6640625" customWidth="1"/>
    <col min="7" max="7" width="3.109375" customWidth="1"/>
    <col min="8" max="8" width="19.33203125" customWidth="1"/>
  </cols>
  <sheetData>
    <row r="1" spans="2:10" ht="70.5" customHeight="1" x14ac:dyDescent="0.3">
      <c r="B1" s="457"/>
      <c r="C1" s="457"/>
      <c r="D1" s="457"/>
      <c r="E1" s="457"/>
      <c r="F1" s="457"/>
      <c r="G1" s="457"/>
      <c r="H1" s="457"/>
      <c r="I1" s="457"/>
      <c r="J1" s="456"/>
    </row>
    <row r="2" spans="2:10" x14ac:dyDescent="0.3">
      <c r="I2" s="411"/>
    </row>
    <row r="3" spans="2:10" x14ac:dyDescent="0.3">
      <c r="B3" s="418" t="s">
        <v>203</v>
      </c>
      <c r="C3" s="438" t="s">
        <v>204</v>
      </c>
      <c r="D3" s="419" t="s">
        <v>167</v>
      </c>
      <c r="E3" s="634" t="s">
        <v>205</v>
      </c>
      <c r="F3" s="635"/>
      <c r="G3" s="411"/>
      <c r="H3" s="442" t="s">
        <v>206</v>
      </c>
      <c r="I3" s="411"/>
    </row>
    <row r="4" spans="2:10" x14ac:dyDescent="0.3">
      <c r="B4" s="420" t="s">
        <v>207</v>
      </c>
      <c r="C4" s="434">
        <v>0</v>
      </c>
      <c r="D4" s="421" t="s">
        <v>167</v>
      </c>
      <c r="E4" s="632" t="s">
        <v>208</v>
      </c>
      <c r="F4" s="633"/>
      <c r="G4" s="411"/>
      <c r="H4" s="411"/>
      <c r="I4" s="411"/>
    </row>
    <row r="5" spans="2:10" x14ac:dyDescent="0.3">
      <c r="B5" s="420" t="s">
        <v>209</v>
      </c>
      <c r="C5" s="434">
        <v>0</v>
      </c>
      <c r="D5" s="421" t="s">
        <v>167</v>
      </c>
      <c r="E5" s="632" t="s">
        <v>210</v>
      </c>
      <c r="F5" s="633"/>
      <c r="G5" s="411"/>
      <c r="H5" s="411"/>
      <c r="I5" s="411"/>
    </row>
    <row r="6" spans="2:10" x14ac:dyDescent="0.3">
      <c r="B6" s="420" t="s">
        <v>211</v>
      </c>
      <c r="C6" s="434">
        <v>0</v>
      </c>
      <c r="D6" s="421"/>
      <c r="E6" s="632" t="s">
        <v>212</v>
      </c>
      <c r="F6" s="633"/>
      <c r="G6" s="411"/>
      <c r="H6" s="411"/>
      <c r="I6" s="411"/>
    </row>
    <row r="7" spans="2:10" x14ac:dyDescent="0.3">
      <c r="B7" s="422" t="s">
        <v>167</v>
      </c>
      <c r="C7" s="423" t="s">
        <v>167</v>
      </c>
      <c r="D7" s="424" t="s">
        <v>167</v>
      </c>
      <c r="E7" s="424" t="s">
        <v>167</v>
      </c>
      <c r="F7" s="424" t="s">
        <v>167</v>
      </c>
      <c r="G7" s="411"/>
      <c r="H7" s="414" t="s">
        <v>213</v>
      </c>
      <c r="I7" s="411"/>
    </row>
    <row r="8" spans="2:10" ht="28.8" x14ac:dyDescent="0.3">
      <c r="B8" s="425" t="s">
        <v>214</v>
      </c>
      <c r="C8" s="421" t="s">
        <v>167</v>
      </c>
      <c r="D8" s="421" t="s">
        <v>167</v>
      </c>
      <c r="E8" s="439" t="s">
        <v>215</v>
      </c>
      <c r="F8" s="440" t="s">
        <v>216</v>
      </c>
      <c r="G8" s="411"/>
      <c r="H8" s="441" t="s">
        <v>217</v>
      </c>
      <c r="I8" s="411"/>
    </row>
    <row r="9" spans="2:10" x14ac:dyDescent="0.3">
      <c r="B9" s="426" t="s">
        <v>218</v>
      </c>
      <c r="C9" s="431">
        <f>H9*(1+C4)*(1+C5)</f>
        <v>1210000</v>
      </c>
      <c r="D9" s="421" t="s">
        <v>167</v>
      </c>
      <c r="E9" s="421" t="s">
        <v>219</v>
      </c>
      <c r="F9" s="421" t="s">
        <v>220</v>
      </c>
      <c r="G9" s="411"/>
      <c r="H9" s="435">
        <v>1210000</v>
      </c>
      <c r="I9" s="411"/>
    </row>
    <row r="10" spans="2:10" x14ac:dyDescent="0.3">
      <c r="B10" s="426" t="s">
        <v>221</v>
      </c>
      <c r="C10" s="431">
        <f>H10*(1+C4)</f>
        <v>830497.26562295412</v>
      </c>
      <c r="D10" s="421" t="s">
        <v>167</v>
      </c>
      <c r="E10" s="421"/>
      <c r="F10" s="421" t="s">
        <v>222</v>
      </c>
      <c r="G10" s="411"/>
      <c r="H10" s="432">
        <f>H9*(100%-H11)</f>
        <v>830497.26562295412</v>
      </c>
      <c r="I10" s="411"/>
    </row>
    <row r="11" spans="2:10" x14ac:dyDescent="0.3">
      <c r="B11" s="426" t="s">
        <v>69</v>
      </c>
      <c r="C11" s="431">
        <f>C9-C10</f>
        <v>379502.73437704588</v>
      </c>
      <c r="D11" s="421" t="s">
        <v>167</v>
      </c>
      <c r="E11" s="421" t="s">
        <v>223</v>
      </c>
      <c r="F11" s="421" t="s">
        <v>224</v>
      </c>
      <c r="G11" s="411"/>
      <c r="H11" s="434">
        <f>'TTM Orignal - Units and BE'!AZ68</f>
        <v>0.31363862345210397</v>
      </c>
      <c r="I11" s="411"/>
    </row>
    <row r="12" spans="2:10" x14ac:dyDescent="0.3">
      <c r="B12" s="436" t="s">
        <v>70</v>
      </c>
      <c r="C12" s="427">
        <f>(C9-C10)/C9</f>
        <v>0.31363862345210403</v>
      </c>
      <c r="D12" s="421" t="s">
        <v>167</v>
      </c>
      <c r="E12" s="421" t="s">
        <v>167</v>
      </c>
      <c r="F12" s="421" t="s">
        <v>167</v>
      </c>
      <c r="G12" s="411"/>
      <c r="H12" s="426" t="s">
        <v>167</v>
      </c>
      <c r="I12" s="411"/>
    </row>
    <row r="13" spans="2:10" x14ac:dyDescent="0.3">
      <c r="B13" s="86"/>
      <c r="C13" s="421" t="s">
        <v>167</v>
      </c>
      <c r="D13" s="421" t="s">
        <v>167</v>
      </c>
      <c r="E13" s="421" t="s">
        <v>167</v>
      </c>
      <c r="F13" s="421" t="s">
        <v>167</v>
      </c>
      <c r="G13" s="411"/>
      <c r="H13" s="426" t="s">
        <v>167</v>
      </c>
      <c r="I13" s="411"/>
    </row>
    <row r="14" spans="2:10" x14ac:dyDescent="0.3">
      <c r="B14" s="426" t="s">
        <v>225</v>
      </c>
      <c r="C14" s="431">
        <f>H14*(1-C6)</f>
        <v>309861</v>
      </c>
      <c r="D14" s="421" t="s">
        <v>167</v>
      </c>
      <c r="E14" s="421" t="s">
        <v>226</v>
      </c>
      <c r="F14" s="421" t="s">
        <v>227</v>
      </c>
      <c r="G14" s="411"/>
      <c r="H14" s="435">
        <v>309861</v>
      </c>
      <c r="I14" s="411"/>
    </row>
    <row r="15" spans="2:10" x14ac:dyDescent="0.3">
      <c r="B15" s="425"/>
      <c r="C15" s="421" t="s">
        <v>167</v>
      </c>
      <c r="D15" s="421" t="s">
        <v>167</v>
      </c>
      <c r="E15" s="421" t="s">
        <v>167</v>
      </c>
      <c r="F15" s="421" t="s">
        <v>167</v>
      </c>
      <c r="G15" s="411"/>
      <c r="H15" s="426" t="s">
        <v>167</v>
      </c>
      <c r="I15" s="411"/>
    </row>
    <row r="16" spans="2:10" x14ac:dyDescent="0.3">
      <c r="B16" s="433" t="s">
        <v>178</v>
      </c>
      <c r="C16" s="430">
        <f>C11-C14</f>
        <v>69641.734377045883</v>
      </c>
      <c r="D16" s="421" t="s">
        <v>167</v>
      </c>
      <c r="E16" s="421" t="s">
        <v>167</v>
      </c>
      <c r="F16" s="421" t="s">
        <v>167</v>
      </c>
      <c r="G16" s="411"/>
      <c r="H16" s="426" t="s">
        <v>167</v>
      </c>
      <c r="I16" s="411"/>
    </row>
    <row r="17" spans="2:10" x14ac:dyDescent="0.3">
      <c r="B17" s="433" t="s">
        <v>228</v>
      </c>
      <c r="C17" s="428">
        <f>C16/C9</f>
        <v>5.7555152377723871E-2</v>
      </c>
      <c r="D17" s="421" t="s">
        <v>167</v>
      </c>
      <c r="E17" s="421" t="s">
        <v>167</v>
      </c>
      <c r="F17" s="421" t="s">
        <v>167</v>
      </c>
      <c r="G17" s="411"/>
      <c r="H17" s="426" t="s">
        <v>167</v>
      </c>
      <c r="I17" s="411"/>
    </row>
    <row r="18" spans="2:10" x14ac:dyDescent="0.3">
      <c r="B18" s="411"/>
      <c r="C18" s="411"/>
      <c r="D18" s="411"/>
      <c r="E18" s="411"/>
      <c r="F18" s="411"/>
      <c r="G18" s="411"/>
      <c r="H18" s="411"/>
      <c r="I18" s="411"/>
    </row>
    <row r="19" spans="2:10" x14ac:dyDescent="0.3">
      <c r="B19" s="636" t="s">
        <v>229</v>
      </c>
      <c r="C19" s="636"/>
      <c r="D19" s="636"/>
      <c r="E19" s="636"/>
      <c r="F19" s="636"/>
      <c r="G19" s="636"/>
      <c r="H19" s="636"/>
      <c r="I19" s="636"/>
      <c r="J19" s="636"/>
    </row>
    <row r="20" spans="2:10" x14ac:dyDescent="0.3">
      <c r="B20" s="411"/>
      <c r="C20" s="411"/>
      <c r="D20" s="411"/>
      <c r="E20" s="411"/>
      <c r="F20" s="411"/>
      <c r="G20" s="411"/>
      <c r="H20" s="411"/>
      <c r="I20" s="411"/>
    </row>
    <row r="21" spans="2:10" x14ac:dyDescent="0.3">
      <c r="B21" s="411"/>
      <c r="C21" s="411"/>
      <c r="D21" s="411"/>
      <c r="E21" s="411"/>
      <c r="F21" s="411"/>
      <c r="G21" s="411"/>
      <c r="H21" s="411"/>
      <c r="I21" s="411"/>
    </row>
    <row r="22" spans="2:10" x14ac:dyDescent="0.3">
      <c r="B22" s="411"/>
      <c r="C22" s="411"/>
      <c r="D22" s="411"/>
      <c r="E22" s="411"/>
      <c r="F22" s="411"/>
      <c r="G22" s="411"/>
      <c r="H22" s="411"/>
      <c r="I22" s="411"/>
    </row>
    <row r="23" spans="2:10" x14ac:dyDescent="0.3">
      <c r="B23" s="411"/>
      <c r="C23" s="411"/>
      <c r="D23" s="411"/>
      <c r="E23" s="411"/>
      <c r="F23" s="411"/>
      <c r="G23" s="411"/>
      <c r="H23" s="411"/>
      <c r="I23" s="411"/>
    </row>
    <row r="24" spans="2:10" x14ac:dyDescent="0.3">
      <c r="B24" s="411"/>
      <c r="C24" s="411"/>
      <c r="D24" s="411"/>
      <c r="E24" s="411"/>
      <c r="F24" s="411"/>
      <c r="G24" s="411"/>
      <c r="H24" s="411"/>
      <c r="I24" s="411"/>
    </row>
    <row r="25" spans="2:10" x14ac:dyDescent="0.3">
      <c r="B25" s="411"/>
      <c r="C25" s="411"/>
      <c r="D25" s="411"/>
      <c r="E25" s="411"/>
      <c r="F25" s="411"/>
      <c r="G25" s="411"/>
      <c r="H25" s="411"/>
      <c r="I25" s="411"/>
    </row>
    <row r="26" spans="2:10" x14ac:dyDescent="0.3">
      <c r="B26" s="429" t="s">
        <v>167</v>
      </c>
      <c r="C26" s="429" t="s">
        <v>167</v>
      </c>
      <c r="D26" s="429" t="s">
        <v>167</v>
      </c>
      <c r="E26" s="429" t="s">
        <v>167</v>
      </c>
      <c r="F26" s="429" t="s">
        <v>167</v>
      </c>
      <c r="G26" s="429" t="s">
        <v>167</v>
      </c>
      <c r="H26" s="429" t="s">
        <v>167</v>
      </c>
      <c r="I26" s="429" t="s">
        <v>167</v>
      </c>
    </row>
  </sheetData>
  <sheetProtection algorithmName="SHA-512" hashValue="litZcISRB/HG5WgrzBAv52QuvkvMNcD3uqYN8kxdyxGKNT2nJ6qXs5nEp8L09J+55Trw1pUrI6+fpKRX5YzgOw==" saltValue="X2XoulEDeTDrip9YDJwMjQ==" spinCount="100000" sheet="1" objects="1" scenarios="1"/>
  <mergeCells count="5">
    <mergeCell ref="E5:F5"/>
    <mergeCell ref="E4:F4"/>
    <mergeCell ref="E6:F6"/>
    <mergeCell ref="E3:F3"/>
    <mergeCell ref="B19:J1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BC4D1-EF23-4211-B433-38DEC6C1E6B2}">
  <dimension ref="A1:P29"/>
  <sheetViews>
    <sheetView topLeftCell="A19" workbookViewId="0">
      <selection activeCell="A31" sqref="A31"/>
    </sheetView>
  </sheetViews>
  <sheetFormatPr defaultRowHeight="14.4" x14ac:dyDescent="0.3"/>
  <cols>
    <col min="1" max="1" width="145.44140625" customWidth="1"/>
  </cols>
  <sheetData>
    <row r="1" spans="1:1" ht="57" customHeight="1" x14ac:dyDescent="0.3"/>
    <row r="2" spans="1:1" ht="15.6" x14ac:dyDescent="0.3">
      <c r="A2" s="270" t="s">
        <v>230</v>
      </c>
    </row>
    <row r="3" spans="1:1" ht="15.6" x14ac:dyDescent="0.3">
      <c r="A3" s="270" t="s">
        <v>167</v>
      </c>
    </row>
    <row r="4" spans="1:1" ht="81" customHeight="1" x14ac:dyDescent="0.3">
      <c r="A4" s="274" t="s">
        <v>231</v>
      </c>
    </row>
    <row r="5" spans="1:1" ht="15.6" x14ac:dyDescent="0.3">
      <c r="A5" s="270"/>
    </row>
    <row r="6" spans="1:1" ht="15.6" x14ac:dyDescent="0.3">
      <c r="A6" s="273" t="s">
        <v>232</v>
      </c>
    </row>
    <row r="7" spans="1:1" ht="15.6" x14ac:dyDescent="0.3">
      <c r="A7" s="270"/>
    </row>
    <row r="8" spans="1:1" ht="15.6" x14ac:dyDescent="0.3">
      <c r="A8" s="273" t="s">
        <v>233</v>
      </c>
    </row>
    <row r="9" spans="1:1" ht="15.6" x14ac:dyDescent="0.3">
      <c r="A9" s="270"/>
    </row>
    <row r="10" spans="1:1" ht="15.6" x14ac:dyDescent="0.3">
      <c r="A10" s="270" t="s">
        <v>234</v>
      </c>
    </row>
    <row r="11" spans="1:1" ht="15.6" x14ac:dyDescent="0.3">
      <c r="A11" s="270" t="s">
        <v>235</v>
      </c>
    </row>
    <row r="12" spans="1:1" ht="15.6" x14ac:dyDescent="0.3">
      <c r="A12" s="270" t="s">
        <v>236</v>
      </c>
    </row>
    <row r="13" spans="1:1" ht="15.6" x14ac:dyDescent="0.3">
      <c r="A13" s="270" t="s">
        <v>237</v>
      </c>
    </row>
    <row r="14" spans="1:1" ht="15.6" x14ac:dyDescent="0.3">
      <c r="A14" s="270" t="s">
        <v>238</v>
      </c>
    </row>
    <row r="15" spans="1:1" ht="15.6" x14ac:dyDescent="0.3">
      <c r="A15" s="270" t="s">
        <v>239</v>
      </c>
    </row>
    <row r="16" spans="1:1" ht="15.6" x14ac:dyDescent="0.3">
      <c r="A16" s="270" t="s">
        <v>240</v>
      </c>
    </row>
    <row r="17" spans="1:16" ht="15.6" x14ac:dyDescent="0.3">
      <c r="A17" s="270"/>
    </row>
    <row r="18" spans="1:16" ht="15.6" x14ac:dyDescent="0.3">
      <c r="A18" s="273" t="s">
        <v>241</v>
      </c>
    </row>
    <row r="19" spans="1:16" ht="15.6" x14ac:dyDescent="0.3">
      <c r="A19" s="271"/>
      <c r="B19" s="12"/>
      <c r="C19" s="12"/>
      <c r="D19" s="12"/>
      <c r="E19" s="12"/>
      <c r="F19" s="12"/>
      <c r="G19" s="12"/>
      <c r="H19" s="12"/>
      <c r="I19" s="12"/>
      <c r="J19" s="12"/>
      <c r="K19" s="12"/>
      <c r="L19" s="12"/>
      <c r="M19" s="12"/>
      <c r="N19" s="12"/>
      <c r="O19" s="12"/>
      <c r="P19" s="12"/>
    </row>
    <row r="20" spans="1:16" ht="15.6" x14ac:dyDescent="0.3">
      <c r="A20" s="271"/>
      <c r="B20" s="12"/>
      <c r="C20" s="12"/>
      <c r="D20" s="12"/>
      <c r="E20" s="12"/>
      <c r="F20" s="12"/>
      <c r="G20" s="12"/>
      <c r="H20" s="12"/>
      <c r="I20" s="12"/>
      <c r="J20" s="12"/>
      <c r="K20" s="12"/>
      <c r="L20" s="12"/>
      <c r="M20" s="12"/>
      <c r="N20" s="12"/>
      <c r="O20" s="12"/>
      <c r="P20" s="12"/>
    </row>
    <row r="21" spans="1:16" ht="15.6" x14ac:dyDescent="0.3">
      <c r="A21" s="272"/>
      <c r="B21" s="12"/>
      <c r="C21" s="12"/>
      <c r="D21" s="12"/>
      <c r="E21" s="12"/>
      <c r="F21" s="12"/>
      <c r="G21" s="12"/>
      <c r="H21" s="12"/>
      <c r="I21" s="12"/>
      <c r="J21" s="12"/>
      <c r="K21" s="12"/>
      <c r="L21" s="12"/>
      <c r="M21" s="12"/>
      <c r="N21" s="12"/>
      <c r="O21" s="12"/>
      <c r="P21" s="12"/>
    </row>
    <row r="22" spans="1:16" x14ac:dyDescent="0.3">
      <c r="A22" s="47"/>
      <c r="B22" s="47"/>
      <c r="C22" s="47"/>
      <c r="D22" s="47"/>
      <c r="E22" s="47"/>
      <c r="F22" s="47"/>
      <c r="G22" s="47"/>
      <c r="H22" s="47"/>
      <c r="I22" s="47"/>
      <c r="J22" s="47"/>
      <c r="K22" s="47"/>
      <c r="L22" s="47"/>
      <c r="M22" s="47"/>
      <c r="N22" s="47"/>
      <c r="O22" s="47"/>
      <c r="P22" s="12"/>
    </row>
    <row r="23" spans="1:16" x14ac:dyDescent="0.3">
      <c r="A23" s="12"/>
      <c r="B23" s="12"/>
      <c r="C23" s="12"/>
      <c r="D23" s="12"/>
      <c r="E23" s="12"/>
      <c r="F23" s="12"/>
      <c r="G23" s="12"/>
      <c r="H23" s="12"/>
      <c r="I23" s="12"/>
      <c r="J23" s="12"/>
      <c r="K23" s="12"/>
      <c r="L23" s="12"/>
      <c r="M23" s="12"/>
      <c r="N23" s="12"/>
      <c r="O23" s="12"/>
      <c r="P23" s="12"/>
    </row>
    <row r="29" spans="1:16" x14ac:dyDescent="0.3">
      <c r="A29" s="416" t="s">
        <v>172</v>
      </c>
      <c r="B29" s="417"/>
      <c r="C29" s="417"/>
      <c r="D29" s="417"/>
      <c r="E29" s="417"/>
      <c r="F29" s="417"/>
      <c r="G29" s="417"/>
      <c r="H29" s="417"/>
      <c r="I29" s="417"/>
      <c r="J29" s="417"/>
      <c r="K29" s="417"/>
      <c r="L29" s="417"/>
      <c r="M29" s="417"/>
    </row>
  </sheetData>
  <sheetProtection algorithmName="SHA-512" hashValue="2FoBmkL2a1zOnR8KwQmvR3FG2I88eRqjEDn9oVxlqqp9o7sf/F/jxCbv4GBwJB0OPvj2kZn/9+yrQSfXalIuXQ==" saltValue="Kep4ELsl3NVBEVPnK1PjC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93429-E352-48AE-BFF9-099234B47AF9}">
  <sheetPr>
    <pageSetUpPr fitToPage="1"/>
  </sheetPr>
  <dimension ref="A1:AF55"/>
  <sheetViews>
    <sheetView topLeftCell="S6" workbookViewId="0">
      <selection activeCell="S6" sqref="S6"/>
    </sheetView>
  </sheetViews>
  <sheetFormatPr defaultRowHeight="14.4" x14ac:dyDescent="0.3"/>
  <cols>
    <col min="1" max="1" width="10.109375" style="38" customWidth="1"/>
    <col min="2" max="2" width="32.6640625" customWidth="1"/>
    <col min="3" max="3" width="13.5546875" hidden="1" customWidth="1"/>
    <col min="4" max="14" width="13.109375" hidden="1" customWidth="1"/>
    <col min="15" max="15" width="0" hidden="1" customWidth="1"/>
    <col min="16" max="16" width="14.5546875" customWidth="1"/>
  </cols>
  <sheetData>
    <row r="1" spans="1:32" ht="66" customHeight="1" x14ac:dyDescent="0.75">
      <c r="A1" s="281"/>
      <c r="B1" s="48"/>
      <c r="C1" s="2"/>
      <c r="E1" s="3"/>
      <c r="F1" s="3"/>
      <c r="G1" s="2"/>
      <c r="H1" s="4"/>
      <c r="I1" s="4"/>
      <c r="J1" s="2"/>
      <c r="K1" s="4"/>
      <c r="L1" s="4"/>
      <c r="M1" s="4"/>
      <c r="N1" s="4"/>
      <c r="O1" s="49"/>
      <c r="P1" s="50"/>
      <c r="Q1" s="2"/>
    </row>
    <row r="2" spans="1:32" s="22" customFormat="1" ht="27.75" customHeight="1" x14ac:dyDescent="0.3">
      <c r="A2" s="172" t="s">
        <v>0</v>
      </c>
      <c r="B2" s="279"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51"/>
      <c r="R2"/>
      <c r="S2"/>
      <c r="T2"/>
      <c r="U2"/>
      <c r="V2"/>
      <c r="W2"/>
      <c r="X2"/>
      <c r="Y2"/>
      <c r="Z2"/>
      <c r="AA2"/>
      <c r="AB2"/>
      <c r="AC2"/>
      <c r="AD2"/>
      <c r="AE2"/>
      <c r="AF2"/>
    </row>
    <row r="3" spans="1:32" x14ac:dyDescent="0.3">
      <c r="A3" s="282"/>
      <c r="B3" s="56" t="s">
        <v>58</v>
      </c>
      <c r="C3" s="11"/>
      <c r="D3" s="11"/>
      <c r="E3" s="11"/>
      <c r="F3" s="11"/>
      <c r="G3" s="11"/>
      <c r="H3" s="12"/>
      <c r="I3" s="12"/>
      <c r="J3" s="12"/>
      <c r="K3" s="12"/>
      <c r="L3" s="12"/>
      <c r="M3" s="12"/>
      <c r="N3" s="12"/>
      <c r="O3" s="12"/>
      <c r="P3" s="13"/>
      <c r="Q3" s="10"/>
    </row>
    <row r="4" spans="1:32" hidden="1" x14ac:dyDescent="0.3">
      <c r="A4" s="282"/>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0"/>
    </row>
    <row r="5" spans="1:32" x14ac:dyDescent="0.3">
      <c r="A5" s="283">
        <v>4010</v>
      </c>
      <c r="B5" s="60" t="s">
        <v>60</v>
      </c>
      <c r="C5" s="61">
        <v>127600</v>
      </c>
      <c r="D5" s="62">
        <v>114200</v>
      </c>
      <c r="E5" s="62">
        <v>98600</v>
      </c>
      <c r="F5" s="62">
        <v>86500</v>
      </c>
      <c r="G5" s="62">
        <v>87900</v>
      </c>
      <c r="H5" s="62">
        <v>78600</v>
      </c>
      <c r="I5" s="62">
        <v>76400</v>
      </c>
      <c r="J5" s="62">
        <v>68600</v>
      </c>
      <c r="K5" s="62">
        <v>92300</v>
      </c>
      <c r="L5" s="62">
        <v>135200</v>
      </c>
      <c r="M5" s="62">
        <v>127600</v>
      </c>
      <c r="N5" s="62">
        <v>116500</v>
      </c>
      <c r="O5" s="63">
        <f>SUM(C5:N5)</f>
        <v>1210000</v>
      </c>
      <c r="P5" s="64">
        <f>SUM(C5:N5)</f>
        <v>1210000</v>
      </c>
      <c r="Q5" s="10"/>
    </row>
    <row r="6" spans="1:32" x14ac:dyDescent="0.3">
      <c r="A6" s="284"/>
      <c r="B6" s="65" t="s">
        <v>61</v>
      </c>
      <c r="C6" s="66">
        <f t="shared" ref="C6:N6" si="0">SUM(C5:C5)</f>
        <v>127600</v>
      </c>
      <c r="D6" s="67">
        <f t="shared" si="0"/>
        <v>114200</v>
      </c>
      <c r="E6" s="67">
        <f t="shared" si="0"/>
        <v>98600</v>
      </c>
      <c r="F6" s="67">
        <f t="shared" si="0"/>
        <v>86500</v>
      </c>
      <c r="G6" s="67">
        <f t="shared" si="0"/>
        <v>87900</v>
      </c>
      <c r="H6" s="67">
        <f t="shared" si="0"/>
        <v>78600</v>
      </c>
      <c r="I6" s="67">
        <f t="shared" si="0"/>
        <v>76400</v>
      </c>
      <c r="J6" s="67">
        <f t="shared" si="0"/>
        <v>68600</v>
      </c>
      <c r="K6" s="67">
        <f t="shared" si="0"/>
        <v>92300</v>
      </c>
      <c r="L6" s="67">
        <f t="shared" si="0"/>
        <v>135200</v>
      </c>
      <c r="M6" s="67">
        <f t="shared" si="0"/>
        <v>127600</v>
      </c>
      <c r="N6" s="67">
        <f t="shared" si="0"/>
        <v>116500</v>
      </c>
      <c r="O6" s="68">
        <f>SUM(C6:N6)</f>
        <v>1210000</v>
      </c>
      <c r="P6" s="69">
        <f>SUM(P5:P5)</f>
        <v>1210000</v>
      </c>
      <c r="Q6" s="1"/>
    </row>
    <row r="7" spans="1:32" hidden="1" x14ac:dyDescent="0.3">
      <c r="A7" s="285"/>
      <c r="B7" s="70" t="s">
        <v>62</v>
      </c>
      <c r="C7" s="71" t="e">
        <f>SUM(C$39+C$44)/#REF!</f>
        <v>#REF!</v>
      </c>
      <c r="D7" s="15" t="e">
        <f>SUM(D$39+D$44)/#REF!</f>
        <v>#REF!</v>
      </c>
      <c r="E7" s="15" t="e">
        <f>SUM(E$39+E$44)/#REF!</f>
        <v>#REF!</v>
      </c>
      <c r="F7" s="15" t="e">
        <f>SUM(F$39+F$44)/#REF!</f>
        <v>#REF!</v>
      </c>
      <c r="G7" s="15" t="e">
        <f>SUM(G$39+G$44)/#REF!</f>
        <v>#REF!</v>
      </c>
      <c r="H7" s="15" t="e">
        <f>SUM(H$39+H$44)/#REF!</f>
        <v>#REF!</v>
      </c>
      <c r="I7" s="15" t="e">
        <f>SUM(I$39+I$44)/#REF!</f>
        <v>#REF!</v>
      </c>
      <c r="J7" s="15" t="e">
        <f>SUM(J$39+J$44)/#REF!</f>
        <v>#REF!</v>
      </c>
      <c r="K7" s="15" t="e">
        <f>SUM(K$39+K$44)/#REF!</f>
        <v>#REF!</v>
      </c>
      <c r="L7" s="15" t="e">
        <f>SUM(L$39+L$44)/#REF!</f>
        <v>#REF!</v>
      </c>
      <c r="M7" s="15" t="e">
        <f>SUM(M$39+M$44)/#REF!</f>
        <v>#REF!</v>
      </c>
      <c r="N7" s="15" t="e">
        <f>SUM(N$39+N$44)/#REF!</f>
        <v>#REF!</v>
      </c>
      <c r="O7" s="16" t="e">
        <f>SUM(O$39+O$44)/#REF!</f>
        <v>#REF!</v>
      </c>
      <c r="P7" s="72" t="e">
        <f>SUM(P$39+P$44)/#REF!</f>
        <v>#REF!</v>
      </c>
      <c r="Q7" s="17"/>
    </row>
    <row r="8" spans="1:32" x14ac:dyDescent="0.3">
      <c r="A8" s="286"/>
      <c r="B8" s="73"/>
      <c r="C8" s="18"/>
      <c r="D8" s="18"/>
      <c r="E8" s="18"/>
      <c r="F8" s="18"/>
      <c r="G8" s="18"/>
      <c r="H8" s="18"/>
      <c r="I8" s="18"/>
      <c r="J8" s="18"/>
      <c r="K8" s="18"/>
      <c r="L8" s="18"/>
      <c r="M8" s="18"/>
      <c r="N8" s="18"/>
      <c r="O8" s="18"/>
      <c r="P8" s="19"/>
      <c r="Q8" s="4"/>
    </row>
    <row r="9" spans="1:32" x14ac:dyDescent="0.3">
      <c r="A9" s="287"/>
      <c r="B9" s="74" t="s">
        <v>63</v>
      </c>
      <c r="C9" s="5"/>
      <c r="D9" s="5"/>
      <c r="E9" s="5"/>
      <c r="F9" s="5"/>
      <c r="G9" s="5"/>
      <c r="H9" s="6"/>
      <c r="I9" s="6"/>
      <c r="J9" s="6"/>
      <c r="K9" s="6"/>
      <c r="L9" s="6"/>
      <c r="M9" s="6"/>
      <c r="N9" s="6"/>
      <c r="O9" s="7"/>
      <c r="P9" s="8"/>
      <c r="Q9" s="2"/>
    </row>
    <row r="10" spans="1:32" x14ac:dyDescent="0.3">
      <c r="A10" s="287">
        <v>5110</v>
      </c>
      <c r="B10" s="75" t="s">
        <v>64</v>
      </c>
      <c r="C10" s="62">
        <v>62550</v>
      </c>
      <c r="D10" s="62">
        <v>51000</v>
      </c>
      <c r="E10" s="62">
        <v>23100</v>
      </c>
      <c r="F10" s="62">
        <v>18250</v>
      </c>
      <c r="G10" s="62">
        <v>9600</v>
      </c>
      <c r="H10" s="62">
        <v>13250</v>
      </c>
      <c r="I10" s="62">
        <v>30550</v>
      </c>
      <c r="J10" s="62">
        <v>68500</v>
      </c>
      <c r="K10" s="62">
        <v>86400</v>
      </c>
      <c r="L10" s="62">
        <v>23400</v>
      </c>
      <c r="M10" s="62">
        <v>48500</v>
      </c>
      <c r="N10" s="62">
        <v>39700</v>
      </c>
      <c r="O10" s="76">
        <f>SUM(C10:N10)</f>
        <v>474800</v>
      </c>
      <c r="P10" s="64">
        <f>SUM(O10)</f>
        <v>474800</v>
      </c>
      <c r="Q10" s="1"/>
    </row>
    <row r="11" spans="1:32" x14ac:dyDescent="0.3">
      <c r="A11" s="287">
        <v>5120</v>
      </c>
      <c r="B11" s="75" t="s">
        <v>65</v>
      </c>
      <c r="C11" s="77">
        <f t="shared" ref="C11:J11" si="1">SUM($P11*C$4)</f>
        <v>7215</v>
      </c>
      <c r="D11" s="77">
        <f t="shared" si="1"/>
        <v>2220</v>
      </c>
      <c r="E11" s="77">
        <f t="shared" si="1"/>
        <v>4440</v>
      </c>
      <c r="F11" s="77">
        <f t="shared" si="1"/>
        <v>2775</v>
      </c>
      <c r="G11" s="77">
        <f t="shared" si="1"/>
        <v>2220</v>
      </c>
      <c r="H11" s="77">
        <f t="shared" si="1"/>
        <v>2775</v>
      </c>
      <c r="I11" s="77">
        <f t="shared" si="1"/>
        <v>3885.0000000000005</v>
      </c>
      <c r="J11" s="77">
        <f t="shared" si="1"/>
        <v>5550</v>
      </c>
      <c r="K11" s="77">
        <v>5330</v>
      </c>
      <c r="L11" s="77">
        <v>7435</v>
      </c>
      <c r="M11" s="77">
        <f>SUM($P11*M$4)</f>
        <v>8880</v>
      </c>
      <c r="N11" s="77">
        <f>SUM($P11*N$4)</f>
        <v>2775</v>
      </c>
      <c r="O11" s="76">
        <f>SUM(C11:N11)</f>
        <v>55500</v>
      </c>
      <c r="P11" s="64">
        <v>55500</v>
      </c>
      <c r="Q11" s="1"/>
    </row>
    <row r="12" spans="1:32" x14ac:dyDescent="0.3">
      <c r="A12" s="287">
        <v>5140</v>
      </c>
      <c r="B12" s="75" t="s">
        <v>66</v>
      </c>
      <c r="C12" s="77">
        <v>9630</v>
      </c>
      <c r="D12" s="77">
        <v>10300</v>
      </c>
      <c r="E12" s="77">
        <v>6400</v>
      </c>
      <c r="F12" s="77">
        <v>5280</v>
      </c>
      <c r="G12" s="77">
        <v>7740</v>
      </c>
      <c r="H12" s="77">
        <v>5300</v>
      </c>
      <c r="I12" s="77">
        <v>3250</v>
      </c>
      <c r="J12" s="77">
        <v>7550</v>
      </c>
      <c r="K12" s="77">
        <v>12600</v>
      </c>
      <c r="L12" s="77">
        <v>10670</v>
      </c>
      <c r="M12" s="77">
        <v>8200</v>
      </c>
      <c r="N12" s="77">
        <v>9750</v>
      </c>
      <c r="O12" s="76">
        <f>SUM(C12:N12)</f>
        <v>96670</v>
      </c>
      <c r="P12" s="64">
        <f>SUM(C12:N12)</f>
        <v>96670</v>
      </c>
      <c r="Q12" s="1"/>
    </row>
    <row r="13" spans="1:32" x14ac:dyDescent="0.3">
      <c r="A13" s="287">
        <v>5160</v>
      </c>
      <c r="B13" t="s">
        <v>67</v>
      </c>
      <c r="C13" s="77">
        <f>SUM($P13*C$4)</f>
        <v>6305</v>
      </c>
      <c r="D13" s="77">
        <f>SUM($P13*D$4)</f>
        <v>1940</v>
      </c>
      <c r="E13" s="77">
        <f>SUM($P13*E$4)</f>
        <v>3880</v>
      </c>
      <c r="F13" s="77">
        <v>1425</v>
      </c>
      <c r="G13" s="77">
        <v>2840</v>
      </c>
      <c r="H13" s="77">
        <v>3395</v>
      </c>
      <c r="I13" s="77">
        <v>2525</v>
      </c>
      <c r="J13" s="77">
        <f>SUM($P13*J$4)</f>
        <v>4850</v>
      </c>
      <c r="K13" s="77">
        <f>SUM($P13*K$4)</f>
        <v>2910</v>
      </c>
      <c r="L13" s="77">
        <f>SUM($P13*L$4)</f>
        <v>8245</v>
      </c>
      <c r="M13" s="77">
        <f>SUM($P13*M$4)</f>
        <v>7760</v>
      </c>
      <c r="N13" s="77">
        <f>SUM($P13*N$4)</f>
        <v>2425</v>
      </c>
      <c r="O13" s="76">
        <f>SUM(C13:N13)</f>
        <v>48500</v>
      </c>
      <c r="P13" s="78">
        <v>48500</v>
      </c>
      <c r="Q13" s="1"/>
    </row>
    <row r="14" spans="1:32" x14ac:dyDescent="0.3">
      <c r="A14" s="287"/>
      <c r="B14" s="79" t="s">
        <v>68</v>
      </c>
      <c r="C14" s="80">
        <f t="shared" ref="C14:N14" si="2">SUM(C10:C13)</f>
        <v>85700</v>
      </c>
      <c r="D14" s="80">
        <f t="shared" si="2"/>
        <v>65460</v>
      </c>
      <c r="E14" s="80">
        <f t="shared" si="2"/>
        <v>37820</v>
      </c>
      <c r="F14" s="80">
        <f t="shared" si="2"/>
        <v>27730</v>
      </c>
      <c r="G14" s="80">
        <f t="shared" si="2"/>
        <v>22400</v>
      </c>
      <c r="H14" s="80">
        <f t="shared" si="2"/>
        <v>24720</v>
      </c>
      <c r="I14" s="80">
        <f t="shared" si="2"/>
        <v>40210</v>
      </c>
      <c r="J14" s="80">
        <f t="shared" si="2"/>
        <v>86450</v>
      </c>
      <c r="K14" s="80">
        <f t="shared" si="2"/>
        <v>107240</v>
      </c>
      <c r="L14" s="80">
        <f t="shared" si="2"/>
        <v>49750</v>
      </c>
      <c r="M14" s="80">
        <f t="shared" si="2"/>
        <v>73340</v>
      </c>
      <c r="N14" s="80">
        <f t="shared" si="2"/>
        <v>54650</v>
      </c>
      <c r="O14" s="81"/>
      <c r="P14" s="69">
        <f>SUM(P10:P13)</f>
        <v>675470</v>
      </c>
      <c r="Q14" s="1"/>
    </row>
    <row r="15" spans="1:32" x14ac:dyDescent="0.3">
      <c r="A15" s="286"/>
      <c r="B15" s="82" t="s">
        <v>69</v>
      </c>
      <c r="C15" s="83">
        <f t="shared" ref="C15:P15" si="3">SUM(C6-C14)</f>
        <v>41900</v>
      </c>
      <c r="D15" s="83">
        <f t="shared" si="3"/>
        <v>48740</v>
      </c>
      <c r="E15" s="83">
        <f t="shared" si="3"/>
        <v>60780</v>
      </c>
      <c r="F15" s="83">
        <f t="shared" si="3"/>
        <v>58770</v>
      </c>
      <c r="G15" s="83">
        <f t="shared" si="3"/>
        <v>65500</v>
      </c>
      <c r="H15" s="83">
        <f t="shared" si="3"/>
        <v>53880</v>
      </c>
      <c r="I15" s="83">
        <f t="shared" si="3"/>
        <v>36190</v>
      </c>
      <c r="J15" s="83">
        <f t="shared" si="3"/>
        <v>-17850</v>
      </c>
      <c r="K15" s="83">
        <f t="shared" si="3"/>
        <v>-14940</v>
      </c>
      <c r="L15" s="83">
        <f t="shared" si="3"/>
        <v>85450</v>
      </c>
      <c r="M15" s="83">
        <f t="shared" si="3"/>
        <v>54260</v>
      </c>
      <c r="N15" s="83">
        <f t="shared" si="3"/>
        <v>61850</v>
      </c>
      <c r="O15" s="83">
        <f t="shared" si="3"/>
        <v>1210000</v>
      </c>
      <c r="P15" s="83">
        <f t="shared" si="3"/>
        <v>534530</v>
      </c>
      <c r="Q15" s="4"/>
    </row>
    <row r="16" spans="1:32" x14ac:dyDescent="0.3">
      <c r="A16" s="283"/>
      <c r="B16" s="84" t="s">
        <v>70</v>
      </c>
      <c r="C16" s="85">
        <f t="shared" ref="C16:P16" si="4">C15/C5</f>
        <v>0.32836990595611287</v>
      </c>
      <c r="D16" s="85">
        <f t="shared" si="4"/>
        <v>0.42679509632224166</v>
      </c>
      <c r="E16" s="85">
        <f t="shared" si="4"/>
        <v>0.61643002028397564</v>
      </c>
      <c r="F16" s="85">
        <f t="shared" si="4"/>
        <v>0.6794219653179191</v>
      </c>
      <c r="G16" s="85">
        <f t="shared" si="4"/>
        <v>0.74516496018202505</v>
      </c>
      <c r="H16" s="85">
        <f t="shared" si="4"/>
        <v>0.68549618320610683</v>
      </c>
      <c r="I16" s="85">
        <f t="shared" si="4"/>
        <v>0.47369109947643978</v>
      </c>
      <c r="J16" s="85">
        <f t="shared" si="4"/>
        <v>-0.26020408163265307</v>
      </c>
      <c r="K16" s="85">
        <f t="shared" si="4"/>
        <v>-0.161863488624052</v>
      </c>
      <c r="L16" s="85">
        <f t="shared" si="4"/>
        <v>0.63202662721893488</v>
      </c>
      <c r="M16" s="85">
        <f t="shared" si="4"/>
        <v>0.42523510971786832</v>
      </c>
      <c r="N16" s="85">
        <f t="shared" si="4"/>
        <v>0.53090128755364807</v>
      </c>
      <c r="O16" s="85">
        <f t="shared" si="4"/>
        <v>1</v>
      </c>
      <c r="P16" s="85">
        <f t="shared" si="4"/>
        <v>0.44176033057851238</v>
      </c>
      <c r="Q16" s="10"/>
    </row>
    <row r="17" spans="1:17" x14ac:dyDescent="0.3">
      <c r="A17" s="283"/>
      <c r="B17" s="47"/>
      <c r="C17" s="23"/>
      <c r="D17" s="23"/>
      <c r="E17" s="23"/>
      <c r="F17" s="23"/>
      <c r="G17" s="23"/>
      <c r="H17" s="23"/>
      <c r="I17" s="23"/>
      <c r="J17" s="23"/>
      <c r="K17" s="23"/>
      <c r="L17" s="23"/>
      <c r="M17" s="23"/>
      <c r="N17" s="23"/>
      <c r="O17" s="23"/>
      <c r="P17" s="24"/>
      <c r="Q17" s="2"/>
    </row>
    <row r="18" spans="1:17" x14ac:dyDescent="0.3">
      <c r="A18" s="284"/>
      <c r="B18" s="65" t="s">
        <v>71</v>
      </c>
      <c r="C18" s="9"/>
      <c r="D18" s="5"/>
      <c r="E18" s="5"/>
      <c r="F18" s="5"/>
      <c r="G18" s="5"/>
      <c r="H18" s="6"/>
      <c r="I18" s="6"/>
      <c r="J18" s="6"/>
      <c r="K18" s="6"/>
      <c r="L18" s="6"/>
      <c r="M18" s="6"/>
      <c r="N18" s="6"/>
      <c r="O18" s="6"/>
      <c r="P18" s="8"/>
      <c r="Q18" s="2"/>
    </row>
    <row r="19" spans="1:17" x14ac:dyDescent="0.3">
      <c r="A19" s="284">
        <v>6110</v>
      </c>
      <c r="B19" s="86" t="s">
        <v>72</v>
      </c>
      <c r="C19" s="87">
        <v>3667</v>
      </c>
      <c r="D19" s="88">
        <v>3667</v>
      </c>
      <c r="E19" s="88">
        <v>3667</v>
      </c>
      <c r="F19" s="88">
        <v>3667</v>
      </c>
      <c r="G19" s="88">
        <v>3667</v>
      </c>
      <c r="H19" s="88">
        <v>3667</v>
      </c>
      <c r="I19" s="88">
        <v>3667</v>
      </c>
      <c r="J19" s="88">
        <v>3667</v>
      </c>
      <c r="K19" s="88">
        <v>3667</v>
      </c>
      <c r="L19" s="88">
        <v>3667</v>
      </c>
      <c r="M19" s="88">
        <v>3667</v>
      </c>
      <c r="N19" s="88">
        <v>3667</v>
      </c>
      <c r="O19" s="76">
        <f t="shared" ref="O19:O38" si="5">SUM(C19:N19)</f>
        <v>44004</v>
      </c>
      <c r="P19" s="64">
        <v>44004</v>
      </c>
      <c r="Q19" s="89"/>
    </row>
    <row r="20" spans="1:17" x14ac:dyDescent="0.3">
      <c r="A20" s="287">
        <v>6120</v>
      </c>
      <c r="B20" s="90" t="s">
        <v>73</v>
      </c>
      <c r="C20" s="77">
        <f t="shared" ref="C20:N20" si="6">SUM($P20*C$4)</f>
        <v>910</v>
      </c>
      <c r="D20" s="77">
        <f t="shared" si="6"/>
        <v>280</v>
      </c>
      <c r="E20" s="77">
        <f t="shared" si="6"/>
        <v>560</v>
      </c>
      <c r="F20" s="77">
        <f t="shared" si="6"/>
        <v>350</v>
      </c>
      <c r="G20" s="77">
        <f t="shared" si="6"/>
        <v>280</v>
      </c>
      <c r="H20" s="77">
        <f t="shared" si="6"/>
        <v>350</v>
      </c>
      <c r="I20" s="77">
        <f t="shared" si="6"/>
        <v>490.00000000000006</v>
      </c>
      <c r="J20" s="77">
        <f t="shared" si="6"/>
        <v>700</v>
      </c>
      <c r="K20" s="77">
        <f t="shared" si="6"/>
        <v>420</v>
      </c>
      <c r="L20" s="77">
        <f t="shared" si="6"/>
        <v>1190</v>
      </c>
      <c r="M20" s="77">
        <f t="shared" si="6"/>
        <v>1120</v>
      </c>
      <c r="N20" s="77">
        <f t="shared" si="6"/>
        <v>350</v>
      </c>
      <c r="O20" s="76">
        <f t="shared" si="5"/>
        <v>7000</v>
      </c>
      <c r="P20" s="64">
        <v>7000</v>
      </c>
      <c r="Q20" s="1"/>
    </row>
    <row r="21" spans="1:17" x14ac:dyDescent="0.3">
      <c r="A21" s="287">
        <v>6130</v>
      </c>
      <c r="B21" s="91" t="s">
        <v>74</v>
      </c>
      <c r="C21" s="88">
        <v>120</v>
      </c>
      <c r="D21" s="88">
        <v>160</v>
      </c>
      <c r="E21" s="88">
        <v>230</v>
      </c>
      <c r="F21" s="88">
        <v>270</v>
      </c>
      <c r="G21" s="88">
        <v>290</v>
      </c>
      <c r="H21" s="88">
        <v>350</v>
      </c>
      <c r="I21" s="88">
        <v>470</v>
      </c>
      <c r="J21" s="88">
        <v>750</v>
      </c>
      <c r="K21" s="88">
        <v>1100</v>
      </c>
      <c r="L21" s="88">
        <v>3100</v>
      </c>
      <c r="M21" s="88">
        <v>2130</v>
      </c>
      <c r="N21" s="88">
        <v>2030</v>
      </c>
      <c r="O21" s="76">
        <f t="shared" si="5"/>
        <v>11000</v>
      </c>
      <c r="P21" s="64">
        <f>SUM(C21:N21)</f>
        <v>11000</v>
      </c>
      <c r="Q21" s="1"/>
    </row>
    <row r="22" spans="1:17" x14ac:dyDescent="0.3">
      <c r="A22" s="287">
        <v>6140</v>
      </c>
      <c r="B22" s="91" t="s">
        <v>75</v>
      </c>
      <c r="C22" s="88">
        <f t="shared" ref="C22:N22" si="7">$P22/12</f>
        <v>1083.3333333333333</v>
      </c>
      <c r="D22" s="88">
        <f t="shared" si="7"/>
        <v>1083.3333333333333</v>
      </c>
      <c r="E22" s="88">
        <f t="shared" si="7"/>
        <v>1083.3333333333333</v>
      </c>
      <c r="F22" s="88">
        <f t="shared" si="7"/>
        <v>1083.3333333333333</v>
      </c>
      <c r="G22" s="88">
        <f t="shared" si="7"/>
        <v>1083.3333333333333</v>
      </c>
      <c r="H22" s="88">
        <f t="shared" si="7"/>
        <v>1083.3333333333333</v>
      </c>
      <c r="I22" s="88">
        <f t="shared" si="7"/>
        <v>1083.3333333333333</v>
      </c>
      <c r="J22" s="88">
        <f t="shared" si="7"/>
        <v>1083.3333333333333</v>
      </c>
      <c r="K22" s="88">
        <f t="shared" si="7"/>
        <v>1083.3333333333333</v>
      </c>
      <c r="L22" s="88">
        <f t="shared" si="7"/>
        <v>1083.3333333333333</v>
      </c>
      <c r="M22" s="88">
        <f t="shared" si="7"/>
        <v>1083.3333333333333</v>
      </c>
      <c r="N22" s="88">
        <f t="shared" si="7"/>
        <v>1083.3333333333333</v>
      </c>
      <c r="O22" s="76">
        <f t="shared" si="5"/>
        <v>13000.000000000002</v>
      </c>
      <c r="P22" s="64">
        <v>13000</v>
      </c>
      <c r="Q22" s="1"/>
    </row>
    <row r="23" spans="1:17" x14ac:dyDescent="0.3">
      <c r="A23" s="287">
        <v>6150</v>
      </c>
      <c r="B23" s="91" t="s">
        <v>76</v>
      </c>
      <c r="C23" s="88">
        <v>1250</v>
      </c>
      <c r="D23" s="88">
        <v>1150</v>
      </c>
      <c r="E23" s="88">
        <v>1150</v>
      </c>
      <c r="F23" s="88">
        <v>850</v>
      </c>
      <c r="G23" s="88">
        <v>700</v>
      </c>
      <c r="H23" s="88">
        <v>1050</v>
      </c>
      <c r="I23" s="88">
        <v>1300</v>
      </c>
      <c r="J23" s="88">
        <v>1350</v>
      </c>
      <c r="K23" s="88">
        <v>1000</v>
      </c>
      <c r="L23" s="88">
        <v>900</v>
      </c>
      <c r="M23" s="88">
        <v>1100</v>
      </c>
      <c r="N23" s="88">
        <v>1200</v>
      </c>
      <c r="O23" s="76">
        <f t="shared" si="5"/>
        <v>13000</v>
      </c>
      <c r="P23" s="64">
        <v>13000</v>
      </c>
      <c r="Q23" s="1"/>
    </row>
    <row r="24" spans="1:17" x14ac:dyDescent="0.3">
      <c r="A24" s="287">
        <v>6160</v>
      </c>
      <c r="B24" s="91" t="s">
        <v>77</v>
      </c>
      <c r="C24" s="88">
        <v>1200</v>
      </c>
      <c r="D24" s="88">
        <v>800</v>
      </c>
      <c r="E24" s="88">
        <v>900</v>
      </c>
      <c r="F24" s="88">
        <v>1100</v>
      </c>
      <c r="G24" s="88">
        <v>500</v>
      </c>
      <c r="H24" s="88">
        <v>1500</v>
      </c>
      <c r="I24" s="88">
        <f>$P24/12</f>
        <v>1000</v>
      </c>
      <c r="J24" s="88">
        <f>$P24/12</f>
        <v>1000</v>
      </c>
      <c r="K24" s="88">
        <v>700</v>
      </c>
      <c r="L24" s="88">
        <v>1300</v>
      </c>
      <c r="M24" s="88">
        <v>1100</v>
      </c>
      <c r="N24" s="88">
        <v>900</v>
      </c>
      <c r="O24" s="76">
        <f t="shared" si="5"/>
        <v>12000</v>
      </c>
      <c r="P24" s="64">
        <v>12000</v>
      </c>
      <c r="Q24" s="1"/>
    </row>
    <row r="25" spans="1:17" x14ac:dyDescent="0.3">
      <c r="A25" s="287">
        <v>6170</v>
      </c>
      <c r="B25" s="75" t="s">
        <v>78</v>
      </c>
      <c r="C25" s="77">
        <f t="shared" ref="C25:N25" si="8">SUM($P25*C$4)</f>
        <v>2470</v>
      </c>
      <c r="D25" s="77">
        <f t="shared" si="8"/>
        <v>760</v>
      </c>
      <c r="E25" s="77">
        <f t="shared" si="8"/>
        <v>1520</v>
      </c>
      <c r="F25" s="77">
        <f t="shared" si="8"/>
        <v>950</v>
      </c>
      <c r="G25" s="77">
        <f t="shared" si="8"/>
        <v>760</v>
      </c>
      <c r="H25" s="77">
        <f t="shared" si="8"/>
        <v>950</v>
      </c>
      <c r="I25" s="77">
        <f t="shared" si="8"/>
        <v>1330.0000000000002</v>
      </c>
      <c r="J25" s="77">
        <f t="shared" si="8"/>
        <v>1900</v>
      </c>
      <c r="K25" s="77">
        <f t="shared" si="8"/>
        <v>1140</v>
      </c>
      <c r="L25" s="77">
        <f t="shared" si="8"/>
        <v>3230.0000000000005</v>
      </c>
      <c r="M25" s="77">
        <f t="shared" si="8"/>
        <v>3040</v>
      </c>
      <c r="N25" s="77">
        <f t="shared" si="8"/>
        <v>950</v>
      </c>
      <c r="O25" s="76">
        <f t="shared" si="5"/>
        <v>19000</v>
      </c>
      <c r="P25" s="64">
        <v>19000</v>
      </c>
      <c r="Q25" s="1"/>
    </row>
    <row r="26" spans="1:17" x14ac:dyDescent="0.3">
      <c r="A26" s="287">
        <v>6180</v>
      </c>
      <c r="B26" s="91" t="s">
        <v>79</v>
      </c>
      <c r="C26" s="88">
        <f t="shared" ref="C26:N27" si="9">$P26/12</f>
        <v>250</v>
      </c>
      <c r="D26" s="88">
        <f t="shared" si="9"/>
        <v>250</v>
      </c>
      <c r="E26" s="88">
        <f t="shared" si="9"/>
        <v>250</v>
      </c>
      <c r="F26" s="88">
        <f t="shared" si="9"/>
        <v>250</v>
      </c>
      <c r="G26" s="88">
        <f t="shared" si="9"/>
        <v>250</v>
      </c>
      <c r="H26" s="88">
        <f t="shared" si="9"/>
        <v>250</v>
      </c>
      <c r="I26" s="88">
        <f t="shared" si="9"/>
        <v>250</v>
      </c>
      <c r="J26" s="88">
        <f t="shared" si="9"/>
        <v>250</v>
      </c>
      <c r="K26" s="88">
        <f t="shared" si="9"/>
        <v>250</v>
      </c>
      <c r="L26" s="88">
        <f t="shared" si="9"/>
        <v>250</v>
      </c>
      <c r="M26" s="88">
        <f t="shared" si="9"/>
        <v>250</v>
      </c>
      <c r="N26" s="88">
        <f t="shared" si="9"/>
        <v>250</v>
      </c>
      <c r="O26" s="76">
        <f t="shared" si="5"/>
        <v>3000</v>
      </c>
      <c r="P26" s="64">
        <v>3000</v>
      </c>
      <c r="Q26" s="1"/>
    </row>
    <row r="27" spans="1:17" x14ac:dyDescent="0.3">
      <c r="A27" s="287">
        <v>6190</v>
      </c>
      <c r="B27" s="91" t="s">
        <v>80</v>
      </c>
      <c r="C27" s="88">
        <f t="shared" si="9"/>
        <v>250</v>
      </c>
      <c r="D27" s="88">
        <f t="shared" si="9"/>
        <v>250</v>
      </c>
      <c r="E27" s="88">
        <f t="shared" si="9"/>
        <v>250</v>
      </c>
      <c r="F27" s="88">
        <f t="shared" si="9"/>
        <v>250</v>
      </c>
      <c r="G27" s="88">
        <f t="shared" si="9"/>
        <v>250</v>
      </c>
      <c r="H27" s="88">
        <f t="shared" si="9"/>
        <v>250</v>
      </c>
      <c r="I27" s="88">
        <f t="shared" si="9"/>
        <v>250</v>
      </c>
      <c r="J27" s="88">
        <f t="shared" si="9"/>
        <v>250</v>
      </c>
      <c r="K27" s="88">
        <f t="shared" si="9"/>
        <v>250</v>
      </c>
      <c r="L27" s="88">
        <f t="shared" si="9"/>
        <v>250</v>
      </c>
      <c r="M27" s="88">
        <f t="shared" si="9"/>
        <v>250</v>
      </c>
      <c r="N27" s="88">
        <f t="shared" si="9"/>
        <v>250</v>
      </c>
      <c r="O27" s="76">
        <f t="shared" si="5"/>
        <v>3000</v>
      </c>
      <c r="P27" s="64">
        <v>3000</v>
      </c>
      <c r="Q27" s="1"/>
    </row>
    <row r="28" spans="1:17" x14ac:dyDescent="0.3">
      <c r="A28" s="287">
        <v>6200</v>
      </c>
      <c r="B28" s="92" t="s">
        <v>81</v>
      </c>
      <c r="C28" s="77">
        <v>8100</v>
      </c>
      <c r="D28" s="77">
        <v>7300</v>
      </c>
      <c r="E28" s="77">
        <v>7900</v>
      </c>
      <c r="F28" s="77">
        <v>16800</v>
      </c>
      <c r="G28" s="77">
        <v>7200</v>
      </c>
      <c r="H28" s="77">
        <v>8100</v>
      </c>
      <c r="I28" s="77">
        <v>8800</v>
      </c>
      <c r="J28" s="77">
        <v>7200</v>
      </c>
      <c r="K28" s="77">
        <v>8100</v>
      </c>
      <c r="L28" s="77">
        <v>20300</v>
      </c>
      <c r="M28" s="77">
        <v>12600</v>
      </c>
      <c r="N28" s="77">
        <v>7600</v>
      </c>
      <c r="O28" s="76">
        <f t="shared" si="5"/>
        <v>120000</v>
      </c>
      <c r="P28" s="64">
        <f>SUM(C28:N28)</f>
        <v>120000</v>
      </c>
      <c r="Q28" s="1"/>
    </row>
    <row r="29" spans="1:17" x14ac:dyDescent="0.3">
      <c r="A29" s="287">
        <v>6210</v>
      </c>
      <c r="B29" s="75" t="s">
        <v>82</v>
      </c>
      <c r="C29" s="77">
        <f>SUM($P29*C$4)</f>
        <v>1300</v>
      </c>
      <c r="D29" s="77">
        <f>SUM($P29*D$4)</f>
        <v>400</v>
      </c>
      <c r="E29" s="77">
        <f>SUM($P29*E$4)</f>
        <v>800</v>
      </c>
      <c r="F29" s="77">
        <v>900</v>
      </c>
      <c r="G29" s="77">
        <v>0</v>
      </c>
      <c r="H29" s="77">
        <f>SUM($P29*H$4)</f>
        <v>500</v>
      </c>
      <c r="I29" s="77">
        <f>SUM($P29*I$4)</f>
        <v>700.00000000000011</v>
      </c>
      <c r="J29" s="77">
        <v>200</v>
      </c>
      <c r="K29" s="77">
        <v>1400</v>
      </c>
      <c r="L29" s="77">
        <f>SUM($P29*L$4)</f>
        <v>1700.0000000000002</v>
      </c>
      <c r="M29" s="77">
        <f>SUM($P29*M$4)</f>
        <v>1600</v>
      </c>
      <c r="N29" s="77">
        <f>SUM($P29*N$4)</f>
        <v>500</v>
      </c>
      <c r="O29" s="76">
        <f t="shared" si="5"/>
        <v>10000</v>
      </c>
      <c r="P29" s="64">
        <v>10000</v>
      </c>
      <c r="Q29" s="1"/>
    </row>
    <row r="30" spans="1:17" x14ac:dyDescent="0.3">
      <c r="A30" s="287">
        <v>6220</v>
      </c>
      <c r="B30" s="93" t="s">
        <v>83</v>
      </c>
      <c r="C30" s="88">
        <f t="shared" ref="C30:N30" si="10">$P30/12</f>
        <v>4166.666666666667</v>
      </c>
      <c r="D30" s="88">
        <f t="shared" si="10"/>
        <v>4166.666666666667</v>
      </c>
      <c r="E30" s="88">
        <f t="shared" si="10"/>
        <v>4166.666666666667</v>
      </c>
      <c r="F30" s="88">
        <f t="shared" si="10"/>
        <v>4166.666666666667</v>
      </c>
      <c r="G30" s="88">
        <f t="shared" si="10"/>
        <v>4166.666666666667</v>
      </c>
      <c r="H30" s="88">
        <f t="shared" si="10"/>
        <v>4166.666666666667</v>
      </c>
      <c r="I30" s="88">
        <f t="shared" si="10"/>
        <v>4166.666666666667</v>
      </c>
      <c r="J30" s="88">
        <f t="shared" si="10"/>
        <v>4166.666666666667</v>
      </c>
      <c r="K30" s="88">
        <f t="shared" si="10"/>
        <v>4166.666666666667</v>
      </c>
      <c r="L30" s="88">
        <f t="shared" si="10"/>
        <v>4166.666666666667</v>
      </c>
      <c r="M30" s="88">
        <f t="shared" si="10"/>
        <v>4166.666666666667</v>
      </c>
      <c r="N30" s="88">
        <f t="shared" si="10"/>
        <v>4166.666666666667</v>
      </c>
      <c r="O30" s="76">
        <f t="shared" si="5"/>
        <v>49999.999999999993</v>
      </c>
      <c r="P30" s="64">
        <v>50000</v>
      </c>
      <c r="Q30" s="1"/>
    </row>
    <row r="31" spans="1:17" x14ac:dyDescent="0.3">
      <c r="A31" s="287">
        <v>6230</v>
      </c>
      <c r="B31" s="91" t="s">
        <v>84</v>
      </c>
      <c r="C31" s="88">
        <f t="shared" ref="C31:N31" si="11">SUM(C28:C30)*0.0643</f>
        <v>872.3366666666667</v>
      </c>
      <c r="D31" s="88">
        <f t="shared" si="11"/>
        <v>763.02666666666664</v>
      </c>
      <c r="E31" s="88">
        <f t="shared" si="11"/>
        <v>827.32666666666671</v>
      </c>
      <c r="F31" s="88">
        <f t="shared" si="11"/>
        <v>1406.0266666666666</v>
      </c>
      <c r="G31" s="88">
        <f t="shared" si="11"/>
        <v>730.87666666666667</v>
      </c>
      <c r="H31" s="88">
        <f t="shared" si="11"/>
        <v>820.89666666666665</v>
      </c>
      <c r="I31" s="88">
        <f t="shared" si="11"/>
        <v>878.76666666666665</v>
      </c>
      <c r="J31" s="88">
        <f t="shared" si="11"/>
        <v>743.73666666666668</v>
      </c>
      <c r="K31" s="88">
        <f t="shared" si="11"/>
        <v>878.76666666666665</v>
      </c>
      <c r="L31" s="88">
        <f t="shared" si="11"/>
        <v>1682.5166666666667</v>
      </c>
      <c r="M31" s="88">
        <f t="shared" si="11"/>
        <v>1180.9766666666667</v>
      </c>
      <c r="N31" s="88">
        <f t="shared" si="11"/>
        <v>788.74666666666667</v>
      </c>
      <c r="O31" s="76">
        <f t="shared" si="5"/>
        <v>11574</v>
      </c>
      <c r="P31" s="64">
        <v>18004</v>
      </c>
      <c r="Q31" s="1"/>
    </row>
    <row r="32" spans="1:17" x14ac:dyDescent="0.3">
      <c r="A32" s="287">
        <v>6240</v>
      </c>
      <c r="B32" s="91" t="s">
        <v>85</v>
      </c>
      <c r="C32" s="88">
        <f t="shared" ref="C32:N33" si="12">$P32/12</f>
        <v>2250</v>
      </c>
      <c r="D32" s="88">
        <f t="shared" si="12"/>
        <v>2250</v>
      </c>
      <c r="E32" s="88">
        <f t="shared" si="12"/>
        <v>2250</v>
      </c>
      <c r="F32" s="88">
        <f t="shared" si="12"/>
        <v>2250</v>
      </c>
      <c r="G32" s="88">
        <f t="shared" si="12"/>
        <v>2250</v>
      </c>
      <c r="H32" s="88">
        <f t="shared" si="12"/>
        <v>2250</v>
      </c>
      <c r="I32" s="88">
        <f t="shared" si="12"/>
        <v>2250</v>
      </c>
      <c r="J32" s="88">
        <f t="shared" si="12"/>
        <v>2250</v>
      </c>
      <c r="K32" s="88">
        <f t="shared" si="12"/>
        <v>2250</v>
      </c>
      <c r="L32" s="88">
        <f t="shared" si="12"/>
        <v>2250</v>
      </c>
      <c r="M32" s="88">
        <f t="shared" si="12"/>
        <v>2250</v>
      </c>
      <c r="N32" s="88">
        <f t="shared" si="12"/>
        <v>2250</v>
      </c>
      <c r="O32" s="76">
        <f t="shared" si="5"/>
        <v>27000</v>
      </c>
      <c r="P32" s="64">
        <v>27000</v>
      </c>
      <c r="Q32" s="1"/>
    </row>
    <row r="33" spans="1:17" x14ac:dyDescent="0.3">
      <c r="A33" s="287">
        <v>6250</v>
      </c>
      <c r="B33" s="75" t="s">
        <v>86</v>
      </c>
      <c r="C33" s="88">
        <f t="shared" si="12"/>
        <v>400</v>
      </c>
      <c r="D33" s="88">
        <f t="shared" si="12"/>
        <v>400</v>
      </c>
      <c r="E33" s="88">
        <f t="shared" si="12"/>
        <v>400</v>
      </c>
      <c r="F33" s="88">
        <f t="shared" si="12"/>
        <v>400</v>
      </c>
      <c r="G33" s="88">
        <f t="shared" si="12"/>
        <v>400</v>
      </c>
      <c r="H33" s="88">
        <f t="shared" si="12"/>
        <v>400</v>
      </c>
      <c r="I33" s="88">
        <f t="shared" si="12"/>
        <v>400</v>
      </c>
      <c r="J33" s="88">
        <f t="shared" si="12"/>
        <v>400</v>
      </c>
      <c r="K33" s="88">
        <f t="shared" si="12"/>
        <v>400</v>
      </c>
      <c r="L33" s="88">
        <f t="shared" si="12"/>
        <v>400</v>
      </c>
      <c r="M33" s="88">
        <f t="shared" si="12"/>
        <v>400</v>
      </c>
      <c r="N33" s="88">
        <f t="shared" si="12"/>
        <v>400</v>
      </c>
      <c r="O33" s="76">
        <f t="shared" si="5"/>
        <v>4800</v>
      </c>
      <c r="P33" s="64">
        <v>4800</v>
      </c>
      <c r="Q33" s="1"/>
    </row>
    <row r="34" spans="1:17" x14ac:dyDescent="0.3">
      <c r="A34" s="287">
        <v>6260</v>
      </c>
      <c r="B34" s="75" t="s">
        <v>87</v>
      </c>
      <c r="C34" s="88">
        <v>0</v>
      </c>
      <c r="D34" s="88">
        <v>350</v>
      </c>
      <c r="E34" s="88">
        <v>1200</v>
      </c>
      <c r="F34" s="88">
        <v>750</v>
      </c>
      <c r="G34" s="88">
        <v>0</v>
      </c>
      <c r="H34" s="88">
        <v>600</v>
      </c>
      <c r="I34" s="88">
        <v>0</v>
      </c>
      <c r="J34" s="88">
        <v>0</v>
      </c>
      <c r="K34" s="88">
        <v>2800</v>
      </c>
      <c r="L34" s="88">
        <v>0</v>
      </c>
      <c r="M34" s="88">
        <v>300</v>
      </c>
      <c r="N34" s="88">
        <v>0</v>
      </c>
      <c r="O34" s="76">
        <f t="shared" si="5"/>
        <v>6000</v>
      </c>
      <c r="P34" s="64">
        <v>6000</v>
      </c>
      <c r="Q34" s="1"/>
    </row>
    <row r="35" spans="1:17" x14ac:dyDescent="0.3">
      <c r="A35" s="287">
        <v>6270</v>
      </c>
      <c r="B35" s="75" t="s">
        <v>88</v>
      </c>
      <c r="C35" s="77">
        <f t="shared" ref="C35:N35" si="13">SUM($P35*C$4)</f>
        <v>2210</v>
      </c>
      <c r="D35" s="77">
        <f t="shared" si="13"/>
        <v>680</v>
      </c>
      <c r="E35" s="77">
        <f t="shared" si="13"/>
        <v>1360</v>
      </c>
      <c r="F35" s="77">
        <f t="shared" si="13"/>
        <v>850</v>
      </c>
      <c r="G35" s="77">
        <f t="shared" si="13"/>
        <v>680</v>
      </c>
      <c r="H35" s="77">
        <f t="shared" si="13"/>
        <v>850</v>
      </c>
      <c r="I35" s="77">
        <f t="shared" si="13"/>
        <v>1190</v>
      </c>
      <c r="J35" s="77">
        <f t="shared" si="13"/>
        <v>1700</v>
      </c>
      <c r="K35" s="77">
        <f t="shared" si="13"/>
        <v>1020</v>
      </c>
      <c r="L35" s="77">
        <f t="shared" si="13"/>
        <v>2890</v>
      </c>
      <c r="M35" s="77">
        <f t="shared" si="13"/>
        <v>2720</v>
      </c>
      <c r="N35" s="77">
        <f t="shared" si="13"/>
        <v>850</v>
      </c>
      <c r="O35" s="76">
        <f t="shared" si="5"/>
        <v>17000</v>
      </c>
      <c r="P35" s="64">
        <v>17000</v>
      </c>
      <c r="Q35" s="1"/>
    </row>
    <row r="36" spans="1:17" x14ac:dyDescent="0.3">
      <c r="A36" s="287">
        <v>6280</v>
      </c>
      <c r="B36" s="91" t="s">
        <v>89</v>
      </c>
      <c r="C36" s="88">
        <f t="shared" ref="C36:N37" si="14">$P36/12</f>
        <v>1250</v>
      </c>
      <c r="D36" s="88">
        <f t="shared" si="14"/>
        <v>1250</v>
      </c>
      <c r="E36" s="88">
        <f t="shared" si="14"/>
        <v>1250</v>
      </c>
      <c r="F36" s="88">
        <f t="shared" si="14"/>
        <v>1250</v>
      </c>
      <c r="G36" s="88">
        <f t="shared" si="14"/>
        <v>1250</v>
      </c>
      <c r="H36" s="88">
        <f t="shared" si="14"/>
        <v>1250</v>
      </c>
      <c r="I36" s="88">
        <f t="shared" si="14"/>
        <v>1250</v>
      </c>
      <c r="J36" s="88">
        <f t="shared" si="14"/>
        <v>1250</v>
      </c>
      <c r="K36" s="88">
        <f t="shared" si="14"/>
        <v>1250</v>
      </c>
      <c r="L36" s="88">
        <f t="shared" si="14"/>
        <v>1250</v>
      </c>
      <c r="M36" s="88">
        <f t="shared" si="14"/>
        <v>1250</v>
      </c>
      <c r="N36" s="88">
        <f t="shared" si="14"/>
        <v>1250</v>
      </c>
      <c r="O36" s="76">
        <f t="shared" si="5"/>
        <v>15000</v>
      </c>
      <c r="P36" s="78">
        <v>15000</v>
      </c>
      <c r="Q36" s="1"/>
    </row>
    <row r="37" spans="1:17" x14ac:dyDescent="0.3">
      <c r="A37" s="287">
        <v>6290</v>
      </c>
      <c r="B37" s="91" t="s">
        <v>90</v>
      </c>
      <c r="C37" s="94">
        <f t="shared" si="14"/>
        <v>666.66666666666663</v>
      </c>
      <c r="D37" s="94">
        <f t="shared" si="14"/>
        <v>666.66666666666663</v>
      </c>
      <c r="E37" s="94">
        <f t="shared" si="14"/>
        <v>666.66666666666663</v>
      </c>
      <c r="F37" s="94">
        <f t="shared" si="14"/>
        <v>666.66666666666663</v>
      </c>
      <c r="G37" s="94">
        <f t="shared" si="14"/>
        <v>666.66666666666663</v>
      </c>
      <c r="H37" s="94">
        <f t="shared" si="14"/>
        <v>666.66666666666663</v>
      </c>
      <c r="I37" s="94">
        <f t="shared" si="14"/>
        <v>666.66666666666663</v>
      </c>
      <c r="J37" s="94">
        <f t="shared" si="14"/>
        <v>666.66666666666663</v>
      </c>
      <c r="K37" s="94">
        <f t="shared" si="14"/>
        <v>666.66666666666663</v>
      </c>
      <c r="L37" s="94">
        <f t="shared" si="14"/>
        <v>666.66666666666663</v>
      </c>
      <c r="M37" s="94">
        <f t="shared" si="14"/>
        <v>666.66666666666663</v>
      </c>
      <c r="N37" s="94">
        <f t="shared" si="14"/>
        <v>666.66666666666663</v>
      </c>
      <c r="O37" s="76">
        <f t="shared" si="5"/>
        <v>8000.0000000000009</v>
      </c>
      <c r="P37" s="64">
        <v>8000</v>
      </c>
      <c r="Q37" s="1"/>
    </row>
    <row r="38" spans="1:17" x14ac:dyDescent="0.3">
      <c r="A38" s="287">
        <v>6300</v>
      </c>
      <c r="B38" s="95" t="s">
        <v>91</v>
      </c>
      <c r="C38" s="96">
        <v>0</v>
      </c>
      <c r="D38" s="96">
        <v>0</v>
      </c>
      <c r="E38" s="96">
        <v>1700</v>
      </c>
      <c r="F38" s="96">
        <v>0</v>
      </c>
      <c r="G38" s="96">
        <v>0</v>
      </c>
      <c r="H38" s="96">
        <v>2800</v>
      </c>
      <c r="I38" s="96">
        <v>0</v>
      </c>
      <c r="J38" s="96">
        <v>0</v>
      </c>
      <c r="K38" s="96">
        <v>2500</v>
      </c>
      <c r="L38" s="96">
        <v>0</v>
      </c>
      <c r="M38" s="96">
        <v>0</v>
      </c>
      <c r="N38" s="96">
        <v>0</v>
      </c>
      <c r="O38" s="97">
        <f t="shared" si="5"/>
        <v>7000</v>
      </c>
      <c r="P38" s="64">
        <v>7000</v>
      </c>
      <c r="Q38" s="1"/>
    </row>
    <row r="39" spans="1:17" x14ac:dyDescent="0.3">
      <c r="A39" s="287"/>
      <c r="B39" s="98" t="s">
        <v>92</v>
      </c>
      <c r="C39" s="99">
        <f t="shared" ref="C39:P39" si="15">SUM(C19:C38)</f>
        <v>32416.003333333334</v>
      </c>
      <c r="D39" s="99">
        <f t="shared" si="15"/>
        <v>26626.693333333333</v>
      </c>
      <c r="E39" s="99">
        <f t="shared" si="15"/>
        <v>32130.993333333336</v>
      </c>
      <c r="F39" s="99">
        <f t="shared" si="15"/>
        <v>38209.693333333329</v>
      </c>
      <c r="G39" s="99">
        <f t="shared" si="15"/>
        <v>25124.543333333335</v>
      </c>
      <c r="H39" s="99">
        <f t="shared" si="15"/>
        <v>31854.563333333335</v>
      </c>
      <c r="I39" s="99">
        <f t="shared" si="15"/>
        <v>30142.433333333338</v>
      </c>
      <c r="J39" s="99">
        <f t="shared" si="15"/>
        <v>29527.403333333335</v>
      </c>
      <c r="K39" s="99">
        <f t="shared" si="15"/>
        <v>35042.433333333334</v>
      </c>
      <c r="L39" s="99">
        <f t="shared" si="15"/>
        <v>50276.183333333334</v>
      </c>
      <c r="M39" s="99">
        <f t="shared" si="15"/>
        <v>40874.643333333333</v>
      </c>
      <c r="N39" s="99">
        <f t="shared" si="15"/>
        <v>29152.413333333334</v>
      </c>
      <c r="O39" s="100">
        <f t="shared" si="15"/>
        <v>401378</v>
      </c>
      <c r="P39" s="69">
        <f t="shared" si="15"/>
        <v>407808</v>
      </c>
      <c r="Q39" s="1"/>
    </row>
    <row r="40" spans="1:17" x14ac:dyDescent="0.3">
      <c r="A40" s="284"/>
      <c r="B40" s="101" t="s">
        <v>93</v>
      </c>
      <c r="C40" s="102"/>
      <c r="D40" s="102"/>
      <c r="E40" s="102"/>
      <c r="F40" s="102"/>
      <c r="G40" s="102"/>
      <c r="H40" s="102"/>
      <c r="I40" s="102"/>
      <c r="J40" s="102"/>
      <c r="K40" s="102"/>
      <c r="L40" s="102"/>
      <c r="M40" s="102"/>
      <c r="N40" s="102"/>
      <c r="O40" s="102"/>
      <c r="P40" s="103"/>
      <c r="Q40" s="1"/>
    </row>
    <row r="41" spans="1:17" x14ac:dyDescent="0.3">
      <c r="A41" s="284">
        <v>6310</v>
      </c>
      <c r="B41" s="104" t="s">
        <v>94</v>
      </c>
      <c r="C41" s="96">
        <f t="shared" ref="C41:N43" si="16">$P41/12</f>
        <v>1250</v>
      </c>
      <c r="D41" s="96">
        <f t="shared" si="16"/>
        <v>1250</v>
      </c>
      <c r="E41" s="96">
        <f t="shared" si="16"/>
        <v>1250</v>
      </c>
      <c r="F41" s="96">
        <f t="shared" si="16"/>
        <v>1250</v>
      </c>
      <c r="G41" s="96">
        <f t="shared" si="16"/>
        <v>1250</v>
      </c>
      <c r="H41" s="96">
        <f t="shared" si="16"/>
        <v>1250</v>
      </c>
      <c r="I41" s="96">
        <f t="shared" si="16"/>
        <v>1250</v>
      </c>
      <c r="J41" s="96">
        <f t="shared" si="16"/>
        <v>1250</v>
      </c>
      <c r="K41" s="96">
        <f t="shared" si="16"/>
        <v>1250</v>
      </c>
      <c r="L41" s="96">
        <f t="shared" si="16"/>
        <v>1250</v>
      </c>
      <c r="M41" s="96">
        <f t="shared" si="16"/>
        <v>1250</v>
      </c>
      <c r="N41" s="96">
        <f t="shared" si="16"/>
        <v>1250</v>
      </c>
      <c r="O41" s="105">
        <f>SUM(C41:N41)</f>
        <v>15000</v>
      </c>
      <c r="P41" s="64">
        <v>15000</v>
      </c>
      <c r="Q41" s="1"/>
    </row>
    <row r="42" spans="1:17" x14ac:dyDescent="0.3">
      <c r="A42" s="283">
        <v>6320</v>
      </c>
      <c r="B42" s="104" t="s">
        <v>95</v>
      </c>
      <c r="C42" s="96">
        <f t="shared" si="16"/>
        <v>2500</v>
      </c>
      <c r="D42" s="96">
        <f t="shared" si="16"/>
        <v>2500</v>
      </c>
      <c r="E42" s="96">
        <f t="shared" si="16"/>
        <v>2500</v>
      </c>
      <c r="F42" s="96">
        <f t="shared" si="16"/>
        <v>2500</v>
      </c>
      <c r="G42" s="96">
        <f t="shared" si="16"/>
        <v>2500</v>
      </c>
      <c r="H42" s="96">
        <f t="shared" si="16"/>
        <v>2500</v>
      </c>
      <c r="I42" s="96">
        <f t="shared" si="16"/>
        <v>2500</v>
      </c>
      <c r="J42" s="96">
        <f t="shared" si="16"/>
        <v>2500</v>
      </c>
      <c r="K42" s="96">
        <f t="shared" si="16"/>
        <v>2500</v>
      </c>
      <c r="L42" s="96">
        <f t="shared" si="16"/>
        <v>2500</v>
      </c>
      <c r="M42" s="96">
        <f t="shared" si="16"/>
        <v>2500</v>
      </c>
      <c r="N42" s="96">
        <f t="shared" si="16"/>
        <v>2500</v>
      </c>
      <c r="O42" s="105">
        <f>SUM(C42:N42)</f>
        <v>30000</v>
      </c>
      <c r="P42" s="64">
        <v>30000</v>
      </c>
      <c r="Q42" s="10"/>
    </row>
    <row r="43" spans="1:17" x14ac:dyDescent="0.3">
      <c r="A43" s="284">
        <v>6330</v>
      </c>
      <c r="B43" s="104" t="s">
        <v>96</v>
      </c>
      <c r="C43" s="96">
        <f t="shared" si="16"/>
        <v>1000</v>
      </c>
      <c r="D43" s="96">
        <f t="shared" si="16"/>
        <v>1000</v>
      </c>
      <c r="E43" s="96">
        <f t="shared" si="16"/>
        <v>1000</v>
      </c>
      <c r="F43" s="96">
        <f t="shared" si="16"/>
        <v>1000</v>
      </c>
      <c r="G43" s="96">
        <f t="shared" si="16"/>
        <v>1000</v>
      </c>
      <c r="H43" s="96">
        <f t="shared" si="16"/>
        <v>1000</v>
      </c>
      <c r="I43" s="96">
        <f t="shared" si="16"/>
        <v>1000</v>
      </c>
      <c r="J43" s="96">
        <f t="shared" si="16"/>
        <v>1000</v>
      </c>
      <c r="K43" s="96">
        <f t="shared" si="16"/>
        <v>1000</v>
      </c>
      <c r="L43" s="96">
        <f t="shared" si="16"/>
        <v>1000</v>
      </c>
      <c r="M43" s="96">
        <f t="shared" si="16"/>
        <v>1000</v>
      </c>
      <c r="N43" s="96">
        <f t="shared" si="16"/>
        <v>1000</v>
      </c>
      <c r="O43" s="105">
        <f>SUM(C43:N43)</f>
        <v>12000</v>
      </c>
      <c r="P43" s="64">
        <v>12000</v>
      </c>
      <c r="Q43" s="1"/>
    </row>
    <row r="44" spans="1:17" x14ac:dyDescent="0.3">
      <c r="A44" s="284"/>
      <c r="B44" s="106" t="s">
        <v>97</v>
      </c>
      <c r="C44" s="107">
        <f t="shared" ref="C44:P44" si="17">SUM(C41:C43)</f>
        <v>4750</v>
      </c>
      <c r="D44" s="107">
        <f t="shared" si="17"/>
        <v>4750</v>
      </c>
      <c r="E44" s="107">
        <f t="shared" si="17"/>
        <v>4750</v>
      </c>
      <c r="F44" s="107">
        <f t="shared" si="17"/>
        <v>4750</v>
      </c>
      <c r="G44" s="107">
        <f t="shared" si="17"/>
        <v>4750</v>
      </c>
      <c r="H44" s="107">
        <f t="shared" si="17"/>
        <v>4750</v>
      </c>
      <c r="I44" s="107">
        <f t="shared" si="17"/>
        <v>4750</v>
      </c>
      <c r="J44" s="107">
        <f t="shared" si="17"/>
        <v>4750</v>
      </c>
      <c r="K44" s="107">
        <f t="shared" si="17"/>
        <v>4750</v>
      </c>
      <c r="L44" s="107">
        <f t="shared" si="17"/>
        <v>4750</v>
      </c>
      <c r="M44" s="107">
        <f t="shared" si="17"/>
        <v>4750</v>
      </c>
      <c r="N44" s="107">
        <f t="shared" si="17"/>
        <v>4750</v>
      </c>
      <c r="O44" s="107">
        <f t="shared" si="17"/>
        <v>57000</v>
      </c>
      <c r="P44" s="108">
        <f t="shared" si="17"/>
        <v>57000</v>
      </c>
      <c r="Q44" s="1"/>
    </row>
    <row r="45" spans="1:17" x14ac:dyDescent="0.3">
      <c r="A45" s="284"/>
      <c r="B45" s="106" t="s">
        <v>98</v>
      </c>
      <c r="C45" s="108">
        <f t="shared" ref="C45:P45" si="18">SUM(C39+C44)</f>
        <v>37166.003333333334</v>
      </c>
      <c r="D45" s="108">
        <f t="shared" si="18"/>
        <v>31376.693333333333</v>
      </c>
      <c r="E45" s="108">
        <f t="shared" si="18"/>
        <v>36880.993333333332</v>
      </c>
      <c r="F45" s="108">
        <f t="shared" si="18"/>
        <v>42959.693333333329</v>
      </c>
      <c r="G45" s="108">
        <f t="shared" si="18"/>
        <v>29874.543333333335</v>
      </c>
      <c r="H45" s="108">
        <f t="shared" si="18"/>
        <v>36604.563333333339</v>
      </c>
      <c r="I45" s="108">
        <f t="shared" si="18"/>
        <v>34892.433333333334</v>
      </c>
      <c r="J45" s="108">
        <f t="shared" si="18"/>
        <v>34277.403333333335</v>
      </c>
      <c r="K45" s="108">
        <f t="shared" si="18"/>
        <v>39792.433333333334</v>
      </c>
      <c r="L45" s="108">
        <f t="shared" si="18"/>
        <v>55026.183333333334</v>
      </c>
      <c r="M45" s="108">
        <f t="shared" si="18"/>
        <v>45624.643333333333</v>
      </c>
      <c r="N45" s="108">
        <f t="shared" si="18"/>
        <v>33902.41333333333</v>
      </c>
      <c r="O45" s="108">
        <f t="shared" si="18"/>
        <v>458378</v>
      </c>
      <c r="P45" s="108">
        <f t="shared" si="18"/>
        <v>464808</v>
      </c>
      <c r="Q45" s="1"/>
    </row>
    <row r="46" spans="1:17" x14ac:dyDescent="0.3">
      <c r="A46" s="287"/>
      <c r="B46" s="109" t="s">
        <v>99</v>
      </c>
      <c r="C46" s="83">
        <f t="shared" ref="C46:P46" si="19">C15-C45</f>
        <v>4733.996666666666</v>
      </c>
      <c r="D46" s="83">
        <f t="shared" si="19"/>
        <v>17363.306666666667</v>
      </c>
      <c r="E46" s="83">
        <f t="shared" si="19"/>
        <v>23899.006666666668</v>
      </c>
      <c r="F46" s="83">
        <f t="shared" si="19"/>
        <v>15810.306666666671</v>
      </c>
      <c r="G46" s="83">
        <f t="shared" si="19"/>
        <v>35625.456666666665</v>
      </c>
      <c r="H46" s="83">
        <f t="shared" si="19"/>
        <v>17275.436666666661</v>
      </c>
      <c r="I46" s="83">
        <f t="shared" si="19"/>
        <v>1297.5666666666657</v>
      </c>
      <c r="J46" s="83">
        <f t="shared" si="19"/>
        <v>-52127.403333333335</v>
      </c>
      <c r="K46" s="83">
        <f t="shared" si="19"/>
        <v>-54732.433333333334</v>
      </c>
      <c r="L46" s="83">
        <f t="shared" si="19"/>
        <v>30423.816666666666</v>
      </c>
      <c r="M46" s="83">
        <f t="shared" si="19"/>
        <v>8635.3566666666666</v>
      </c>
      <c r="N46" s="83">
        <f t="shared" si="19"/>
        <v>27947.58666666667</v>
      </c>
      <c r="O46" s="83">
        <f t="shared" si="19"/>
        <v>751622</v>
      </c>
      <c r="P46" s="83">
        <f t="shared" si="19"/>
        <v>69722</v>
      </c>
      <c r="Q46" s="1"/>
    </row>
    <row r="47" spans="1:17" x14ac:dyDescent="0.3">
      <c r="A47" s="287"/>
      <c r="B47" s="110" t="s">
        <v>100</v>
      </c>
      <c r="C47" s="111">
        <f t="shared" ref="C47:N47" si="20">SUM(C46/C6)</f>
        <v>3.7100287356321836E-2</v>
      </c>
      <c r="D47" s="111">
        <f t="shared" si="20"/>
        <v>0.15204296555750146</v>
      </c>
      <c r="E47" s="111">
        <f t="shared" si="20"/>
        <v>0.24238343475321164</v>
      </c>
      <c r="F47" s="111">
        <f t="shared" si="20"/>
        <v>0.18277811175337191</v>
      </c>
      <c r="G47" s="111">
        <f t="shared" si="20"/>
        <v>0.40529529768676525</v>
      </c>
      <c r="H47" s="111">
        <f t="shared" si="20"/>
        <v>0.21978927056827813</v>
      </c>
      <c r="I47" s="111">
        <f t="shared" si="20"/>
        <v>1.6983856893542745E-2</v>
      </c>
      <c r="J47" s="111">
        <f t="shared" si="20"/>
        <v>-0.75987468415937809</v>
      </c>
      <c r="K47" s="111">
        <f t="shared" si="20"/>
        <v>-0.59298410978692673</v>
      </c>
      <c r="L47" s="111">
        <f t="shared" si="20"/>
        <v>0.22502822978303746</v>
      </c>
      <c r="M47" s="111">
        <f t="shared" si="20"/>
        <v>6.767520898641588E-2</v>
      </c>
      <c r="N47" s="111">
        <f t="shared" si="20"/>
        <v>0.23989344778254651</v>
      </c>
      <c r="O47" s="111"/>
      <c r="P47" s="111">
        <f>SUM(P46/P6)</f>
        <v>5.7621487603305786E-2</v>
      </c>
      <c r="Q47" s="2"/>
    </row>
    <row r="48" spans="1:17" hidden="1" x14ac:dyDescent="0.3">
      <c r="A48" s="284"/>
      <c r="B48" s="112" t="s">
        <v>62</v>
      </c>
      <c r="C48" s="15" t="e">
        <f>SUM(C$39+C$44)/#REF!</f>
        <v>#REF!</v>
      </c>
      <c r="D48" s="15" t="e">
        <f>SUM(D$39+D$44)/#REF!</f>
        <v>#REF!</v>
      </c>
      <c r="E48" s="15" t="e">
        <f>SUM(E$39+E$44)/#REF!</f>
        <v>#REF!</v>
      </c>
      <c r="F48" s="15" t="e">
        <f>SUM(F$39+F$44)/#REF!</f>
        <v>#REF!</v>
      </c>
      <c r="G48" s="15" t="e">
        <f>SUM(G$39+G$44)/#REF!</f>
        <v>#REF!</v>
      </c>
      <c r="H48" s="15" t="e">
        <f>SUM(H$39+H$44)/#REF!</f>
        <v>#REF!</v>
      </c>
      <c r="I48" s="15" t="e">
        <f>SUM(I$39+I$44)/#REF!</f>
        <v>#REF!</v>
      </c>
      <c r="J48" s="15" t="e">
        <f>SUM(J$39+J$44)/#REF!</f>
        <v>#REF!</v>
      </c>
      <c r="K48" s="15" t="e">
        <f>SUM(K$39+K$44)/#REF!</f>
        <v>#REF!</v>
      </c>
      <c r="L48" s="15" t="e">
        <f>SUM(L$39+L$44)/#REF!</f>
        <v>#REF!</v>
      </c>
      <c r="M48" s="15" t="e">
        <f>SUM(M$39+M$44)/#REF!</f>
        <v>#REF!</v>
      </c>
      <c r="N48" s="15" t="e">
        <f>SUM(N$39+N$44)/#REF!</f>
        <v>#REF!</v>
      </c>
      <c r="O48" s="15" t="e">
        <f>SUM(O$39+O$44)/#REF!</f>
        <v>#REF!</v>
      </c>
      <c r="P48" s="16" t="e">
        <f>SUM(P$39+P$44)/#REF!</f>
        <v>#REF!</v>
      </c>
      <c r="Q48" s="2"/>
    </row>
    <row r="50" spans="1:29" ht="15.75" customHeight="1" x14ac:dyDescent="0.3"/>
    <row r="54" spans="1:29" ht="15.6" x14ac:dyDescent="0.3">
      <c r="B54" s="621" t="s">
        <v>101</v>
      </c>
      <c r="C54" s="621"/>
      <c r="D54" s="621"/>
      <c r="E54" s="621"/>
      <c r="F54" s="621"/>
      <c r="G54" s="621"/>
      <c r="H54" s="621"/>
      <c r="I54" s="621"/>
      <c r="J54" s="621"/>
      <c r="K54" s="621"/>
      <c r="L54" s="621"/>
      <c r="M54" s="621"/>
      <c r="N54" s="621"/>
      <c r="O54" s="621"/>
      <c r="P54" s="621"/>
      <c r="Q54" s="621"/>
      <c r="R54" s="621"/>
      <c r="S54" s="621"/>
      <c r="T54" s="621"/>
      <c r="U54" s="621"/>
      <c r="V54" s="621"/>
      <c r="W54" s="621"/>
      <c r="X54" s="621"/>
      <c r="Y54" s="621"/>
      <c r="Z54" s="621"/>
      <c r="AA54" s="621"/>
      <c r="AB54" s="621"/>
      <c r="AC54" s="621"/>
    </row>
    <row r="55" spans="1:29" ht="15.75" customHeight="1" x14ac:dyDescent="0.3">
      <c r="A55" s="288"/>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row>
  </sheetData>
  <sheetProtection algorithmName="SHA-512" hashValue="261qXpKIf+D68GgCYzLB4Q5v2R+ajAGYFPS+QvCHrtGNg1JNB8zYGbbjnT0XFKdssF/w0WR/sbXHmpbwLHkfCQ==" saltValue="DBgZTMbdobD4L79u9wZ2tw==" spinCount="100000" sheet="1" objects="1" scenarios="1"/>
  <mergeCells count="1">
    <mergeCell ref="B54:AC54"/>
  </mergeCells>
  <printOptions gridLines="1"/>
  <pageMargins left="0.7" right="0.7" top="0.75" bottom="0.75" header="0.3" footer="0.3"/>
  <pageSetup fitToHeight="0" orientation="portrait"/>
  <headerFooter>
    <oddFooter>&amp;R&amp;N</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361EE-3219-4303-BBA1-8F167B8488C4}">
  <dimension ref="A1:AF90"/>
  <sheetViews>
    <sheetView zoomScale="85" zoomScaleNormal="85" workbookViewId="0">
      <pane xSplit="2" ySplit="2" topLeftCell="P73" activePane="bottomRight" state="frozen"/>
      <selection pane="topRight"/>
      <selection pane="bottomLeft"/>
      <selection pane="bottomRight" activeCell="Z75" sqref="Z75"/>
    </sheetView>
  </sheetViews>
  <sheetFormatPr defaultColWidth="9.109375" defaultRowHeight="14.4" x14ac:dyDescent="0.3"/>
  <cols>
    <col min="1" max="1" width="10.44140625" customWidth="1"/>
    <col min="2" max="2" width="32.6640625" customWidth="1"/>
    <col min="3" max="13" width="13.109375" hidden="1" customWidth="1"/>
    <col min="14" max="15" width="17.33203125" hidden="1" customWidth="1"/>
    <col min="16" max="16" width="17.33203125" customWidth="1"/>
    <col min="17" max="17" width="17.33203125" hidden="1" customWidth="1"/>
    <col min="18" max="18" width="10.88671875" style="152" customWidth="1"/>
    <col min="19" max="19" width="15.33203125" customWidth="1"/>
    <col min="20" max="20" width="15" customWidth="1"/>
  </cols>
  <sheetData>
    <row r="1" spans="1:32" ht="66" customHeight="1" x14ac:dyDescent="0.75">
      <c r="A1" s="174"/>
      <c r="B1" s="48"/>
      <c r="C1" s="2"/>
      <c r="E1" s="3"/>
      <c r="F1" s="3"/>
      <c r="G1" s="2"/>
      <c r="H1" s="4"/>
      <c r="I1" s="4"/>
      <c r="J1" s="2"/>
      <c r="K1" s="4"/>
      <c r="L1" s="4"/>
      <c r="M1" s="4"/>
      <c r="N1" s="4"/>
      <c r="O1" s="49"/>
      <c r="P1" s="50"/>
      <c r="Q1" s="50"/>
      <c r="R1" s="146"/>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47"/>
      <c r="S2"/>
      <c r="T2"/>
      <c r="U2"/>
      <c r="V2"/>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148"/>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148"/>
    </row>
    <row r="5" spans="1:32" x14ac:dyDescent="0.3">
      <c r="A5" s="175">
        <v>4100</v>
      </c>
      <c r="B5" s="125" t="s">
        <v>102</v>
      </c>
      <c r="C5" s="158">
        <v>82940</v>
      </c>
      <c r="D5" s="158">
        <v>74230</v>
      </c>
      <c r="E5" s="158">
        <v>64090</v>
      </c>
      <c r="F5" s="158">
        <v>56225.000000000007</v>
      </c>
      <c r="G5" s="158">
        <v>44135</v>
      </c>
      <c r="H5" s="158">
        <v>51090</v>
      </c>
      <c r="I5" s="158">
        <v>49660</v>
      </c>
      <c r="J5" s="158">
        <v>57590</v>
      </c>
      <c r="K5" s="158">
        <v>59995</v>
      </c>
      <c r="L5" s="158">
        <v>87880</v>
      </c>
      <c r="M5" s="158">
        <v>82940</v>
      </c>
      <c r="N5" s="158">
        <v>75724.350000000006</v>
      </c>
      <c r="O5" s="63"/>
      <c r="P5" s="64">
        <f>SUM(C5:N5)</f>
        <v>786499.35</v>
      </c>
      <c r="Q5" s="135">
        <v>786499.35</v>
      </c>
      <c r="R5" s="170">
        <v>0.65</v>
      </c>
    </row>
    <row r="6" spans="1:32" x14ac:dyDescent="0.3">
      <c r="A6" s="175">
        <v>4200</v>
      </c>
      <c r="B6" s="125" t="s">
        <v>103</v>
      </c>
      <c r="C6" s="158">
        <v>15312</v>
      </c>
      <c r="D6" s="158">
        <v>13704</v>
      </c>
      <c r="E6" s="158">
        <v>11832</v>
      </c>
      <c r="F6" s="158">
        <v>10380</v>
      </c>
      <c r="G6" s="158">
        <v>8148</v>
      </c>
      <c r="H6" s="158">
        <v>9432</v>
      </c>
      <c r="I6" s="158">
        <v>9168</v>
      </c>
      <c r="J6" s="158">
        <v>10632</v>
      </c>
      <c r="K6" s="158">
        <v>11076</v>
      </c>
      <c r="L6" s="158">
        <v>16224</v>
      </c>
      <c r="M6" s="158">
        <v>15312</v>
      </c>
      <c r="N6" s="158">
        <v>13979.880000000003</v>
      </c>
      <c r="O6" s="63"/>
      <c r="P6" s="64">
        <f>SUM(C6:N6)</f>
        <v>145199.88</v>
      </c>
      <c r="Q6" s="135">
        <v>145199.88</v>
      </c>
      <c r="R6" s="170">
        <v>0.12</v>
      </c>
    </row>
    <row r="7" spans="1:32" x14ac:dyDescent="0.3">
      <c r="A7" s="175">
        <v>4300</v>
      </c>
      <c r="B7" s="125" t="s">
        <v>104</v>
      </c>
      <c r="C7" s="158">
        <v>11484</v>
      </c>
      <c r="D7" s="158">
        <v>10278</v>
      </c>
      <c r="E7" s="158">
        <v>8874</v>
      </c>
      <c r="F7" s="158">
        <v>7785.0000000000009</v>
      </c>
      <c r="G7" s="158">
        <v>6111</v>
      </c>
      <c r="H7" s="158">
        <v>7074</v>
      </c>
      <c r="I7" s="158">
        <v>6876</v>
      </c>
      <c r="J7" s="158">
        <v>7974</v>
      </c>
      <c r="K7" s="158">
        <v>8307</v>
      </c>
      <c r="L7" s="158">
        <v>12168</v>
      </c>
      <c r="M7" s="158">
        <v>11484</v>
      </c>
      <c r="N7" s="158">
        <v>10484.91</v>
      </c>
      <c r="O7" s="63"/>
      <c r="P7" s="64">
        <f>SUM(C7:N7)</f>
        <v>108899.91</v>
      </c>
      <c r="Q7" s="135">
        <v>108899.91</v>
      </c>
      <c r="R7" s="170">
        <v>0.09</v>
      </c>
    </row>
    <row r="8" spans="1:32" x14ac:dyDescent="0.3">
      <c r="A8" s="175">
        <v>4400</v>
      </c>
      <c r="B8" s="125" t="s">
        <v>105</v>
      </c>
      <c r="C8" s="158">
        <v>15202.27</v>
      </c>
      <c r="D8" s="158">
        <v>14680.33</v>
      </c>
      <c r="E8" s="158">
        <v>14101.82</v>
      </c>
      <c r="F8" s="158">
        <v>13506.05</v>
      </c>
      <c r="G8" s="158">
        <v>12551.17</v>
      </c>
      <c r="H8" s="158">
        <v>13105.87</v>
      </c>
      <c r="I8" s="158">
        <v>13401.88</v>
      </c>
      <c r="J8" s="158">
        <v>13733.07</v>
      </c>
      <c r="K8" s="158">
        <v>14199.41</v>
      </c>
      <c r="L8" s="158">
        <v>15028.73</v>
      </c>
      <c r="M8" s="158">
        <v>14991.25</v>
      </c>
      <c r="N8" s="126">
        <v>14899.15</v>
      </c>
      <c r="O8" s="63"/>
      <c r="P8" s="64">
        <f>SUM(C8:N8)</f>
        <v>169401</v>
      </c>
      <c r="Q8" s="135">
        <v>169400.49391902841</v>
      </c>
      <c r="R8" s="170">
        <v>0.14000000000000001</v>
      </c>
    </row>
    <row r="9" spans="1:32" x14ac:dyDescent="0.3">
      <c r="A9" s="176"/>
      <c r="B9" s="65" t="s">
        <v>61</v>
      </c>
      <c r="C9" s="157">
        <f t="shared" ref="C9:O9" si="0">SUM(C5:C8)</f>
        <v>124938.27</v>
      </c>
      <c r="D9" s="157">
        <f t="shared" si="0"/>
        <v>112892.33</v>
      </c>
      <c r="E9" s="157">
        <f t="shared" si="0"/>
        <v>98897.82</v>
      </c>
      <c r="F9" s="157">
        <f t="shared" si="0"/>
        <v>87896.05</v>
      </c>
      <c r="G9" s="157">
        <f t="shared" si="0"/>
        <v>70945.17</v>
      </c>
      <c r="H9" s="157">
        <f t="shared" si="0"/>
        <v>80701.87</v>
      </c>
      <c r="I9" s="157">
        <f t="shared" si="0"/>
        <v>79105.88</v>
      </c>
      <c r="J9" s="157">
        <f t="shared" si="0"/>
        <v>89929.07</v>
      </c>
      <c r="K9" s="157">
        <f t="shared" si="0"/>
        <v>93577.41</v>
      </c>
      <c r="L9" s="157">
        <f t="shared" si="0"/>
        <v>131300.73000000001</v>
      </c>
      <c r="M9" s="157">
        <f t="shared" si="0"/>
        <v>124727.25</v>
      </c>
      <c r="N9" s="157">
        <f t="shared" si="0"/>
        <v>115088.29000000001</v>
      </c>
      <c r="O9" s="69">
        <f t="shared" si="0"/>
        <v>0</v>
      </c>
      <c r="P9" s="69">
        <f>SUM(P5:P8)</f>
        <v>1210000.1400000001</v>
      </c>
      <c r="Q9" s="136">
        <v>1210000</v>
      </c>
      <c r="R9" s="171">
        <f>SUM(R5:R8)</f>
        <v>1</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150"/>
    </row>
    <row r="11" spans="1:32" x14ac:dyDescent="0.3">
      <c r="A11" s="177"/>
      <c r="B11" s="73"/>
      <c r="C11" s="18"/>
      <c r="D11" s="18"/>
      <c r="E11" s="18"/>
      <c r="F11" s="18"/>
      <c r="G11" s="18"/>
      <c r="H11" s="18"/>
      <c r="I11" s="18"/>
      <c r="J11" s="18"/>
      <c r="K11" s="18"/>
      <c r="L11" s="18"/>
      <c r="M11" s="18"/>
      <c r="N11" s="18"/>
      <c r="O11" s="18"/>
      <c r="P11" s="19"/>
      <c r="Q11" s="19"/>
      <c r="R11" s="151"/>
    </row>
    <row r="12" spans="1:32" x14ac:dyDescent="0.3">
      <c r="A12" s="176"/>
      <c r="B12" s="101" t="s">
        <v>106</v>
      </c>
      <c r="C12" s="9"/>
      <c r="D12" s="5"/>
      <c r="E12" s="5"/>
      <c r="F12" s="5"/>
      <c r="G12" s="5"/>
      <c r="H12" s="6"/>
      <c r="I12" s="6"/>
      <c r="J12" s="6"/>
      <c r="K12" s="6"/>
      <c r="L12" s="6"/>
      <c r="M12" s="6"/>
      <c r="N12" s="6"/>
      <c r="O12" s="7"/>
      <c r="P12" s="8"/>
      <c r="Q12" s="8"/>
      <c r="R12" s="146"/>
    </row>
    <row r="13" spans="1:32" x14ac:dyDescent="0.3">
      <c r="A13" s="176">
        <v>5110</v>
      </c>
      <c r="B13" s="145" t="s">
        <v>107</v>
      </c>
      <c r="C13" s="142">
        <f>(C$5/$Q$5)*$Q13</f>
        <v>42318.944065243028</v>
      </c>
      <c r="D13" s="142">
        <f t="shared" ref="D13:N15" si="1">(D$5/$Q$5)*$Q13</f>
        <v>37874.791632059198</v>
      </c>
      <c r="E13" s="142">
        <f t="shared" si="1"/>
        <v>32701.002232233252</v>
      </c>
      <c r="F13" s="142">
        <f t="shared" si="1"/>
        <v>28687.998915701588</v>
      </c>
      <c r="G13" s="142">
        <f t="shared" si="1"/>
        <v>22519.250015909103</v>
      </c>
      <c r="H13" s="142">
        <f t="shared" si="1"/>
        <v>26067.938899123055</v>
      </c>
      <c r="I13" s="142">
        <f t="shared" si="1"/>
        <v>25338.301932480936</v>
      </c>
      <c r="J13" s="142">
        <f t="shared" si="1"/>
        <v>29384.470565678155</v>
      </c>
      <c r="K13" s="142">
        <f t="shared" si="1"/>
        <v>30611.587282303542</v>
      </c>
      <c r="L13" s="142">
        <f t="shared" si="1"/>
        <v>44839.508131824907</v>
      </c>
      <c r="M13" s="142">
        <f t="shared" si="1"/>
        <v>42318.944065243028</v>
      </c>
      <c r="N13" s="142">
        <f t="shared" si="1"/>
        <v>38637.262262200216</v>
      </c>
      <c r="O13" s="76">
        <v>474800</v>
      </c>
      <c r="P13" s="64">
        <f t="shared" ref="P13:P17" si="2">SUM(C13:N13)</f>
        <v>401300</v>
      </c>
      <c r="Q13" s="135">
        <v>401300</v>
      </c>
      <c r="R13" s="149"/>
    </row>
    <row r="14" spans="1:32" x14ac:dyDescent="0.3">
      <c r="A14" s="176">
        <v>5120</v>
      </c>
      <c r="B14" s="145" t="s">
        <v>108</v>
      </c>
      <c r="C14" s="142">
        <f>(C$5/$Q$5)*$Q14</f>
        <v>4921.567703774962</v>
      </c>
      <c r="D14" s="142">
        <f t="shared" si="1"/>
        <v>4404.7259543189703</v>
      </c>
      <c r="E14" s="142">
        <f t="shared" si="1"/>
        <v>3803.0295892806525</v>
      </c>
      <c r="F14" s="142">
        <f t="shared" si="1"/>
        <v>3336.329203577855</v>
      </c>
      <c r="G14" s="142">
        <f t="shared" si="1"/>
        <v>2618.9219991090904</v>
      </c>
      <c r="H14" s="142">
        <f t="shared" si="1"/>
        <v>3031.6239930776801</v>
      </c>
      <c r="I14" s="142">
        <f t="shared" si="1"/>
        <v>2946.7693774953536</v>
      </c>
      <c r="J14" s="142">
        <f t="shared" si="1"/>
        <v>3417.3267911791663</v>
      </c>
      <c r="K14" s="142">
        <f t="shared" si="1"/>
        <v>3560.0368264767162</v>
      </c>
      <c r="L14" s="142">
        <f t="shared" si="1"/>
        <v>5214.701830332091</v>
      </c>
      <c r="M14" s="142">
        <f t="shared" si="1"/>
        <v>4921.567703774962</v>
      </c>
      <c r="N14" s="142">
        <f t="shared" si="1"/>
        <v>4493.3990276025024</v>
      </c>
      <c r="O14" s="76">
        <v>96670</v>
      </c>
      <c r="P14" s="64">
        <f t="shared" si="2"/>
        <v>46670</v>
      </c>
      <c r="Q14" s="135">
        <v>46670</v>
      </c>
      <c r="R14" s="149"/>
    </row>
    <row r="15" spans="1:32" x14ac:dyDescent="0.3">
      <c r="A15" s="176">
        <v>5130</v>
      </c>
      <c r="B15" s="145" t="s">
        <v>109</v>
      </c>
      <c r="C15" s="142">
        <f>(C$5/$Q$5)*$Q15</f>
        <v>1845.4560706248519</v>
      </c>
      <c r="D15" s="142">
        <f t="shared" si="1"/>
        <v>1651.6542575655021</v>
      </c>
      <c r="E15" s="142">
        <f t="shared" si="1"/>
        <v>1426.034236391931</v>
      </c>
      <c r="F15" s="142">
        <f t="shared" si="1"/>
        <v>1251.0340917637125</v>
      </c>
      <c r="G15" s="142">
        <f t="shared" si="1"/>
        <v>982.02560497983882</v>
      </c>
      <c r="H15" s="142">
        <f t="shared" si="1"/>
        <v>1136.7777989899164</v>
      </c>
      <c r="I15" s="142">
        <f t="shared" si="1"/>
        <v>1104.9595908756951</v>
      </c>
      <c r="J15" s="142">
        <f t="shared" si="1"/>
        <v>1281.4060176909238</v>
      </c>
      <c r="K15" s="142">
        <f t="shared" si="1"/>
        <v>1334.9184586102965</v>
      </c>
      <c r="L15" s="142">
        <f t="shared" si="1"/>
        <v>1955.3735168376172</v>
      </c>
      <c r="M15" s="142">
        <f t="shared" si="1"/>
        <v>1845.4560706248519</v>
      </c>
      <c r="N15" s="142">
        <f t="shared" si="1"/>
        <v>1684.9042850448639</v>
      </c>
      <c r="O15" s="76">
        <v>55500</v>
      </c>
      <c r="P15" s="64">
        <f t="shared" si="2"/>
        <v>17500</v>
      </c>
      <c r="Q15" s="135">
        <v>17500</v>
      </c>
      <c r="R15" s="149"/>
    </row>
    <row r="16" spans="1:32" x14ac:dyDescent="0.3">
      <c r="A16" s="176">
        <v>5140</v>
      </c>
      <c r="B16" s="145" t="s">
        <v>110</v>
      </c>
      <c r="C16" s="142">
        <v>7292.4555912856122</v>
      </c>
      <c r="D16" s="142">
        <v>7095.5629194734875</v>
      </c>
      <c r="E16" s="142">
        <v>5667.8520478116097</v>
      </c>
      <c r="F16" s="142">
        <v>5346.8519486379737</v>
      </c>
      <c r="G16" s="142">
        <v>4040.3339176313366</v>
      </c>
      <c r="H16" s="142">
        <v>4677.0286587013707</v>
      </c>
      <c r="I16" s="142">
        <v>4546.119459602859</v>
      </c>
      <c r="J16" s="142">
        <v>5771.6784121309192</v>
      </c>
      <c r="K16" s="142">
        <v>4992.3726573327749</v>
      </c>
      <c r="L16" s="142">
        <v>7044.8275544029375</v>
      </c>
      <c r="M16" s="142">
        <v>8592.4555912856122</v>
      </c>
      <c r="N16" s="142">
        <v>6932.177629898868</v>
      </c>
      <c r="O16" s="76">
        <v>60000</v>
      </c>
      <c r="P16" s="64">
        <f t="shared" si="2"/>
        <v>71999.71638819536</v>
      </c>
      <c r="Q16" s="135">
        <v>72000</v>
      </c>
      <c r="R16" s="149"/>
    </row>
    <row r="17" spans="1:18" x14ac:dyDescent="0.3">
      <c r="A17" s="176">
        <v>5150</v>
      </c>
      <c r="B17" s="145" t="s">
        <v>111</v>
      </c>
      <c r="C17" s="142">
        <f>(C$5/$Q$5)*$Q17</f>
        <v>1054.5463260713439</v>
      </c>
      <c r="D17" s="142">
        <f t="shared" ref="D17:N17" si="3">(D$5/$Q$5)*$Q17</f>
        <v>943.80243289457269</v>
      </c>
      <c r="E17" s="142">
        <f t="shared" si="3"/>
        <v>814.87670650967482</v>
      </c>
      <c r="F17" s="142">
        <f t="shared" si="3"/>
        <v>714.87662386497857</v>
      </c>
      <c r="G17" s="142">
        <f t="shared" si="3"/>
        <v>561.15748855990796</v>
      </c>
      <c r="H17" s="142">
        <f t="shared" si="3"/>
        <v>649.58731370852365</v>
      </c>
      <c r="I17" s="142">
        <f t="shared" si="3"/>
        <v>631.40548050039718</v>
      </c>
      <c r="J17" s="142">
        <f t="shared" si="3"/>
        <v>732.23201010909929</v>
      </c>
      <c r="K17" s="142">
        <f t="shared" si="3"/>
        <v>762.81054777731231</v>
      </c>
      <c r="L17" s="142">
        <f t="shared" si="3"/>
        <v>1117.3562953357814</v>
      </c>
      <c r="M17" s="142">
        <f t="shared" si="3"/>
        <v>1054.5463260713439</v>
      </c>
      <c r="N17" s="142">
        <f t="shared" si="3"/>
        <v>962.80244859706499</v>
      </c>
      <c r="O17" s="76"/>
      <c r="P17" s="64">
        <f t="shared" si="2"/>
        <v>10000.000000000002</v>
      </c>
      <c r="Q17" s="135">
        <v>10000</v>
      </c>
      <c r="R17" s="149"/>
    </row>
    <row r="18" spans="1:18" x14ac:dyDescent="0.3">
      <c r="A18" s="178"/>
      <c r="B18" s="131" t="s">
        <v>112</v>
      </c>
      <c r="C18" s="69">
        <f t="shared" ref="C18:O18" si="4">SUM(C13:C17)</f>
        <v>57432.969756999795</v>
      </c>
      <c r="D18" s="69">
        <f t="shared" si="4"/>
        <v>51970.537196311736</v>
      </c>
      <c r="E18" s="69">
        <f t="shared" si="4"/>
        <v>44412.794812227126</v>
      </c>
      <c r="F18" s="69">
        <f t="shared" si="4"/>
        <v>39337.090783546104</v>
      </c>
      <c r="G18" s="69">
        <f t="shared" si="4"/>
        <v>30721.689026189273</v>
      </c>
      <c r="H18" s="69">
        <f t="shared" si="4"/>
        <v>35562.95666360054</v>
      </c>
      <c r="I18" s="69">
        <f t="shared" si="4"/>
        <v>34567.555840955247</v>
      </c>
      <c r="J18" s="69">
        <f t="shared" si="4"/>
        <v>40587.113796788268</v>
      </c>
      <c r="K18" s="69">
        <f t="shared" si="4"/>
        <v>41261.725772500642</v>
      </c>
      <c r="L18" s="69">
        <f t="shared" si="4"/>
        <v>60171.767328733331</v>
      </c>
      <c r="M18" s="69">
        <f t="shared" si="4"/>
        <v>58732.969756999795</v>
      </c>
      <c r="N18" s="69">
        <f t="shared" si="4"/>
        <v>52710.545653343514</v>
      </c>
      <c r="O18" s="69">
        <f t="shared" si="4"/>
        <v>686970</v>
      </c>
      <c r="P18" s="69">
        <f>SUM(P13:P17)</f>
        <v>547469.7163881954</v>
      </c>
      <c r="Q18" s="136">
        <v>408524</v>
      </c>
      <c r="R18" s="149"/>
    </row>
    <row r="19" spans="1:18" x14ac:dyDescent="0.3">
      <c r="A19" s="177"/>
      <c r="B19" s="82" t="s">
        <v>69</v>
      </c>
      <c r="C19" s="83">
        <f>SUM(C5-C18)</f>
        <v>25507.030243000205</v>
      </c>
      <c r="D19" s="83">
        <f t="shared" ref="D19:N19" si="5">SUM(D5-D18)</f>
        <v>22259.462803688264</v>
      </c>
      <c r="E19" s="83">
        <f t="shared" si="5"/>
        <v>19677.205187772874</v>
      </c>
      <c r="F19" s="83">
        <f t="shared" si="5"/>
        <v>16887.909216453903</v>
      </c>
      <c r="G19" s="83">
        <f t="shared" si="5"/>
        <v>13413.310973810727</v>
      </c>
      <c r="H19" s="83">
        <f t="shared" si="5"/>
        <v>15527.04333639946</v>
      </c>
      <c r="I19" s="83">
        <f t="shared" si="5"/>
        <v>15092.444159044753</v>
      </c>
      <c r="J19" s="83">
        <f t="shared" si="5"/>
        <v>17002.886203211732</v>
      </c>
      <c r="K19" s="83">
        <f t="shared" si="5"/>
        <v>18733.274227499358</v>
      </c>
      <c r="L19" s="83">
        <f t="shared" si="5"/>
        <v>27708.232671266669</v>
      </c>
      <c r="M19" s="83">
        <f t="shared" si="5"/>
        <v>24207.030243000205</v>
      </c>
      <c r="N19" s="83">
        <f t="shared" si="5"/>
        <v>23013.804346656492</v>
      </c>
      <c r="O19" s="83">
        <f>SUM(O5-O18)</f>
        <v>-686970</v>
      </c>
      <c r="P19" s="83">
        <f>SUM(P5-P18)</f>
        <v>239029.63361180457</v>
      </c>
      <c r="Q19" s="138">
        <v>801476</v>
      </c>
      <c r="R19" s="151"/>
    </row>
    <row r="20" spans="1:18" x14ac:dyDescent="0.3">
      <c r="A20" s="175"/>
      <c r="B20" s="84" t="s">
        <v>70</v>
      </c>
      <c r="C20" s="85">
        <f t="shared" ref="C20:O20" si="6">(C5-C18)/C5</f>
        <v>0.30753593251748501</v>
      </c>
      <c r="D20" s="85">
        <f t="shared" si="6"/>
        <v>0.29987151830376213</v>
      </c>
      <c r="E20" s="85">
        <f t="shared" si="6"/>
        <v>0.30702457774649516</v>
      </c>
      <c r="F20" s="85">
        <f t="shared" si="6"/>
        <v>0.30036299184444465</v>
      </c>
      <c r="G20" s="85">
        <f t="shared" si="6"/>
        <v>0.30391550863964489</v>
      </c>
      <c r="H20" s="85">
        <f t="shared" si="6"/>
        <v>0.30391550863964495</v>
      </c>
      <c r="I20" s="85">
        <f t="shared" si="6"/>
        <v>0.30391550863964467</v>
      </c>
      <c r="J20" s="85">
        <f t="shared" si="6"/>
        <v>0.2952402535720044</v>
      </c>
      <c r="K20" s="85">
        <f t="shared" si="6"/>
        <v>0.31224725772980011</v>
      </c>
      <c r="L20" s="85">
        <f t="shared" si="6"/>
        <v>0.3152962297595206</v>
      </c>
      <c r="M20" s="85">
        <f t="shared" si="6"/>
        <v>0.29186195132626241</v>
      </c>
      <c r="N20" s="85">
        <f t="shared" si="6"/>
        <v>0.30391550863964484</v>
      </c>
      <c r="O20" s="85" t="e">
        <f t="shared" si="6"/>
        <v>#DIV/0!</v>
      </c>
      <c r="P20" s="85">
        <f>(P5-P18)/P5</f>
        <v>0.30391586923982145</v>
      </c>
      <c r="Q20" s="124">
        <v>0.32475316095302559</v>
      </c>
      <c r="R20" s="148"/>
    </row>
    <row r="21" spans="1:18" x14ac:dyDescent="0.3">
      <c r="A21" s="175"/>
      <c r="B21" s="47"/>
      <c r="C21" s="24"/>
      <c r="D21" s="24"/>
      <c r="E21" s="24"/>
      <c r="F21" s="24"/>
      <c r="G21" s="24"/>
      <c r="H21" s="24"/>
      <c r="I21" s="24"/>
      <c r="J21" s="24"/>
      <c r="K21" s="24"/>
      <c r="L21" s="24"/>
      <c r="M21" s="24"/>
      <c r="N21" s="24"/>
      <c r="O21" s="24"/>
      <c r="P21" s="24"/>
      <c r="Q21" s="24"/>
      <c r="R21" s="148"/>
    </row>
    <row r="22" spans="1:18" x14ac:dyDescent="0.3">
      <c r="A22" s="175"/>
      <c r="B22" s="101" t="s">
        <v>113</v>
      </c>
      <c r="C22" s="9"/>
      <c r="D22" s="5"/>
      <c r="E22" s="5"/>
      <c r="F22" s="5"/>
      <c r="G22" s="5"/>
      <c r="H22" s="6"/>
      <c r="I22" s="6"/>
      <c r="J22" s="6"/>
      <c r="K22" s="6"/>
      <c r="L22" s="6"/>
      <c r="M22" s="6"/>
      <c r="N22" s="6"/>
      <c r="O22" s="7"/>
      <c r="P22" s="8"/>
      <c r="Q22" s="8"/>
      <c r="R22" s="146"/>
    </row>
    <row r="23" spans="1:18" x14ac:dyDescent="0.3">
      <c r="A23" s="175">
        <v>5210</v>
      </c>
      <c r="B23" s="145" t="s">
        <v>114</v>
      </c>
      <c r="C23" s="156">
        <v>10018.1900976778</v>
      </c>
      <c r="D23" s="156">
        <v>6966.1231124984397</v>
      </c>
      <c r="E23" s="156">
        <v>6241.3287118419103</v>
      </c>
      <c r="F23" s="156">
        <v>6291.3279267172902</v>
      </c>
      <c r="G23" s="156">
        <v>4130.9961413191204</v>
      </c>
      <c r="H23" s="156">
        <v>5371.0794802309701</v>
      </c>
      <c r="I23" s="156">
        <v>5998.3520647537698</v>
      </c>
      <c r="J23" s="156">
        <v>4956.2040960364402</v>
      </c>
      <c r="K23" s="156">
        <v>7246.7002038844703</v>
      </c>
      <c r="L23" s="156">
        <v>9614.8848056899005</v>
      </c>
      <c r="M23" s="156">
        <v>9018.1900976777997</v>
      </c>
      <c r="N23" s="156">
        <v>9146.6232616721009</v>
      </c>
      <c r="O23" s="97">
        <f>SUM(C23:N23)</f>
        <v>85000.000000000015</v>
      </c>
      <c r="P23" s="64">
        <f>SUM(C23:N23)</f>
        <v>85000.000000000015</v>
      </c>
      <c r="Q23" s="135">
        <v>95000</v>
      </c>
      <c r="R23" s="146"/>
    </row>
    <row r="24" spans="1:18" x14ac:dyDescent="0.3">
      <c r="A24" s="175">
        <v>5220</v>
      </c>
      <c r="B24" s="145" t="s">
        <v>109</v>
      </c>
      <c r="C24" s="156">
        <v>1101.81900976778</v>
      </c>
      <c r="D24" s="156">
        <v>796.61231124984397</v>
      </c>
      <c r="E24" s="156">
        <v>724.13287118419112</v>
      </c>
      <c r="F24" s="156">
        <v>729.13279267172902</v>
      </c>
      <c r="G24" s="156">
        <v>513.09961413191206</v>
      </c>
      <c r="H24" s="156">
        <v>637.10794802309704</v>
      </c>
      <c r="I24" s="156">
        <v>699.83520647537705</v>
      </c>
      <c r="J24" s="156">
        <v>595.62040960364402</v>
      </c>
      <c r="K24" s="156">
        <v>824.67002038844703</v>
      </c>
      <c r="L24" s="156">
        <v>961.4884805689901</v>
      </c>
      <c r="M24" s="156">
        <v>901.81900976778002</v>
      </c>
      <c r="N24" s="156">
        <v>1014.6623261672102</v>
      </c>
      <c r="O24" s="97"/>
      <c r="P24" s="64">
        <f>SUM(C24:N24)</f>
        <v>9500.0000000000018</v>
      </c>
      <c r="Q24" s="135">
        <v>9000</v>
      </c>
      <c r="R24" s="146"/>
    </row>
    <row r="25" spans="1:18" x14ac:dyDescent="0.3">
      <c r="A25" s="175"/>
      <c r="B25" s="101" t="s">
        <v>115</v>
      </c>
      <c r="C25" s="67">
        <f t="shared" ref="C25:O25" si="7">SUM(C23:C24)</f>
        <v>11120.00910744558</v>
      </c>
      <c r="D25" s="67">
        <f t="shared" si="7"/>
        <v>7762.7354237482832</v>
      </c>
      <c r="E25" s="67">
        <f t="shared" si="7"/>
        <v>6965.4615830261009</v>
      </c>
      <c r="F25" s="67">
        <f t="shared" si="7"/>
        <v>7020.4607193890188</v>
      </c>
      <c r="G25" s="67">
        <f t="shared" si="7"/>
        <v>4644.0957554510323</v>
      </c>
      <c r="H25" s="67">
        <f t="shared" si="7"/>
        <v>6008.1874282540675</v>
      </c>
      <c r="I25" s="67">
        <f t="shared" si="7"/>
        <v>6698.187271229147</v>
      </c>
      <c r="J25" s="67">
        <f t="shared" si="7"/>
        <v>5551.8245056400847</v>
      </c>
      <c r="K25" s="67">
        <f t="shared" si="7"/>
        <v>8071.3702242729178</v>
      </c>
      <c r="L25" s="67">
        <f t="shared" si="7"/>
        <v>10576.373286258891</v>
      </c>
      <c r="M25" s="67">
        <f t="shared" si="7"/>
        <v>9920.0091074455795</v>
      </c>
      <c r="N25" s="67">
        <f t="shared" si="7"/>
        <v>10161.285587839311</v>
      </c>
      <c r="O25" s="67">
        <f t="shared" si="7"/>
        <v>85000.000000000015</v>
      </c>
      <c r="P25" s="67">
        <f>SUM(P23:P24)</f>
        <v>94500.000000000015</v>
      </c>
      <c r="Q25" s="80">
        <f>SUM(Q23:Q23)</f>
        <v>95000</v>
      </c>
      <c r="R25" s="146"/>
    </row>
    <row r="26" spans="1:18" x14ac:dyDescent="0.3">
      <c r="A26" s="175"/>
      <c r="B26" s="129" t="s">
        <v>69</v>
      </c>
      <c r="C26" s="153">
        <f t="shared" ref="C26:P26" si="8">SUM(C6-C25)</f>
        <v>4191.9908925544205</v>
      </c>
      <c r="D26" s="83">
        <f t="shared" si="8"/>
        <v>5941.2645762517168</v>
      </c>
      <c r="E26" s="83">
        <f t="shared" si="8"/>
        <v>4866.5384169738991</v>
      </c>
      <c r="F26" s="83">
        <f t="shared" si="8"/>
        <v>3359.5392806109812</v>
      </c>
      <c r="G26" s="83">
        <f t="shared" si="8"/>
        <v>3503.9042445489677</v>
      </c>
      <c r="H26" s="83">
        <f t="shared" si="8"/>
        <v>3423.8125717459325</v>
      </c>
      <c r="I26" s="83">
        <f t="shared" si="8"/>
        <v>2469.812728770853</v>
      </c>
      <c r="J26" s="83">
        <f t="shared" si="8"/>
        <v>5080.1754943599153</v>
      </c>
      <c r="K26" s="83">
        <f t="shared" si="8"/>
        <v>3004.6297757270822</v>
      </c>
      <c r="L26" s="83">
        <f t="shared" si="8"/>
        <v>5647.6267137411087</v>
      </c>
      <c r="M26" s="83">
        <f t="shared" si="8"/>
        <v>5391.9908925544205</v>
      </c>
      <c r="N26" s="83">
        <f t="shared" si="8"/>
        <v>3818.5944121606917</v>
      </c>
      <c r="O26" s="83">
        <f t="shared" si="8"/>
        <v>-85000.000000000015</v>
      </c>
      <c r="P26" s="83">
        <f t="shared" si="8"/>
        <v>50699.87999999999</v>
      </c>
      <c r="Q26" s="138">
        <v>718205.2</v>
      </c>
      <c r="R26" s="146"/>
    </row>
    <row r="27" spans="1:18" x14ac:dyDescent="0.3">
      <c r="A27" s="175"/>
      <c r="B27" s="154" t="s">
        <v>70</v>
      </c>
      <c r="C27" s="85">
        <f t="shared" ref="C27:O27" si="9">SUM(C6-C25)/C6</f>
        <v>0.27377161001530959</v>
      </c>
      <c r="D27" s="85">
        <f t="shared" si="9"/>
        <v>0.43354236545911534</v>
      </c>
      <c r="E27" s="85">
        <f t="shared" si="9"/>
        <v>0.41130311164417671</v>
      </c>
      <c r="F27" s="85">
        <f t="shared" si="9"/>
        <v>0.3236550366677246</v>
      </c>
      <c r="G27" s="85">
        <f t="shared" si="9"/>
        <v>0.43003243060247515</v>
      </c>
      <c r="H27" s="85">
        <f t="shared" si="9"/>
        <v>0.36299963652946698</v>
      </c>
      <c r="I27" s="85">
        <f t="shared" si="9"/>
        <v>0.26939493114865326</v>
      </c>
      <c r="J27" s="85">
        <f t="shared" si="9"/>
        <v>0.47781936553422832</v>
      </c>
      <c r="K27" s="85">
        <f t="shared" si="9"/>
        <v>0.27127390535636353</v>
      </c>
      <c r="L27" s="85">
        <f t="shared" si="9"/>
        <v>0.34810322446629122</v>
      </c>
      <c r="M27" s="85">
        <f t="shared" si="9"/>
        <v>0.35214151597142246</v>
      </c>
      <c r="N27" s="85">
        <f t="shared" si="9"/>
        <v>0.27314929828873286</v>
      </c>
      <c r="O27" s="85" t="e">
        <f t="shared" si="9"/>
        <v>#DIV/0!</v>
      </c>
      <c r="P27" s="85">
        <f>SUM(P6-P25)/P6</f>
        <v>0.34917301584546756</v>
      </c>
      <c r="Q27" s="124">
        <v>0.31181100149669538</v>
      </c>
      <c r="R27" s="146"/>
    </row>
    <row r="28" spans="1:18" x14ac:dyDescent="0.3">
      <c r="A28" s="175"/>
      <c r="B28" s="47"/>
      <c r="C28" s="23"/>
      <c r="D28" s="23"/>
      <c r="E28" s="23"/>
      <c r="F28" s="23"/>
      <c r="G28" s="23"/>
      <c r="H28" s="23"/>
      <c r="I28" s="23"/>
      <c r="J28" s="23"/>
      <c r="K28" s="23"/>
      <c r="L28" s="23"/>
      <c r="M28" s="23"/>
      <c r="N28" s="23"/>
      <c r="O28" s="23"/>
      <c r="P28" s="24"/>
      <c r="Q28" s="24"/>
      <c r="R28" s="146"/>
    </row>
    <row r="29" spans="1:18" x14ac:dyDescent="0.3">
      <c r="A29" s="175"/>
      <c r="B29" s="167" t="s">
        <v>116</v>
      </c>
      <c r="C29" s="9"/>
      <c r="D29" s="5"/>
      <c r="E29" s="5"/>
      <c r="F29" s="5"/>
      <c r="G29" s="5"/>
      <c r="H29" s="6"/>
      <c r="I29" s="6"/>
      <c r="J29" s="6"/>
      <c r="K29" s="6"/>
      <c r="L29" s="6"/>
      <c r="M29" s="6"/>
      <c r="N29" s="6"/>
      <c r="O29" s="7"/>
      <c r="P29" s="8"/>
      <c r="Q29" s="8"/>
      <c r="R29" s="146"/>
    </row>
    <row r="30" spans="1:18" x14ac:dyDescent="0.3">
      <c r="A30" s="175">
        <v>5310</v>
      </c>
      <c r="B30" s="86" t="s">
        <v>117</v>
      </c>
      <c r="C30" s="166">
        <f>(C$7/$Q$7)*$Q30</f>
        <v>1898.1833869284187</v>
      </c>
      <c r="D30" s="143">
        <f t="shared" ref="D30:N30" si="10">(D$7/$Q$7)*$Q30</f>
        <v>1698.8443792102307</v>
      </c>
      <c r="E30" s="143">
        <f t="shared" si="10"/>
        <v>1466.7780717174146</v>
      </c>
      <c r="F30" s="143">
        <f t="shared" si="10"/>
        <v>1286.7779229569612</v>
      </c>
      <c r="G30" s="143">
        <f t="shared" si="10"/>
        <v>1010.0834794078341</v>
      </c>
      <c r="H30" s="143">
        <f t="shared" si="10"/>
        <v>1169.2571646753427</v>
      </c>
      <c r="I30" s="143">
        <f t="shared" si="10"/>
        <v>1136.5298649007148</v>
      </c>
      <c r="J30" s="143">
        <f t="shared" si="10"/>
        <v>1318.0176181963786</v>
      </c>
      <c r="K30" s="143">
        <f t="shared" si="10"/>
        <v>1373.0589859991619</v>
      </c>
      <c r="L30" s="143">
        <f t="shared" si="10"/>
        <v>2011.2413316044062</v>
      </c>
      <c r="M30" s="143">
        <f t="shared" si="10"/>
        <v>1898.1833869284187</v>
      </c>
      <c r="N30" s="143">
        <f t="shared" si="10"/>
        <v>1733.0444074747168</v>
      </c>
      <c r="O30" s="76">
        <v>18000</v>
      </c>
      <c r="P30" s="64">
        <f t="shared" ref="P30:P32" si="11">SUM(C30:N30)</f>
        <v>17999.999999999996</v>
      </c>
      <c r="Q30" s="135">
        <v>18000</v>
      </c>
      <c r="R30" s="146"/>
    </row>
    <row r="31" spans="1:18" x14ac:dyDescent="0.3">
      <c r="A31" s="175">
        <v>5320</v>
      </c>
      <c r="B31" s="168" t="s">
        <v>118</v>
      </c>
      <c r="C31" s="142">
        <v>3492.0690017099187</v>
      </c>
      <c r="D31" s="142">
        <v>3901.8214064639719</v>
      </c>
      <c r="E31" s="142">
        <v>2645.0435083004199</v>
      </c>
      <c r="F31" s="142">
        <v>3015.0438140857964</v>
      </c>
      <c r="G31" s="142">
        <v>3015.0438140857964</v>
      </c>
      <c r="H31" s="142">
        <v>2336.2002778514693</v>
      </c>
      <c r="I31" s="142">
        <v>2403.4730607215374</v>
      </c>
      <c r="J31" s="142">
        <v>2822.3990267760551</v>
      </c>
      <c r="K31" s="142">
        <v>2709.2584374036674</v>
      </c>
      <c r="L31" s="142">
        <v>3501.8214064639701</v>
      </c>
      <c r="M31" s="142">
        <v>4134.218292742391</v>
      </c>
      <c r="N31" s="142">
        <v>3023</v>
      </c>
      <c r="O31" s="76">
        <f>SUM(C31:N31)</f>
        <v>36999.392046604997</v>
      </c>
      <c r="P31" s="64">
        <f t="shared" si="11"/>
        <v>36999.392046604997</v>
      </c>
      <c r="Q31" s="135">
        <v>37000</v>
      </c>
      <c r="R31" s="155"/>
    </row>
    <row r="32" spans="1:18" x14ac:dyDescent="0.3">
      <c r="A32" s="175">
        <v>5330</v>
      </c>
      <c r="B32" s="145" t="s">
        <v>119</v>
      </c>
      <c r="C32" s="143">
        <f>(C$7/$Q$7)*$Q32</f>
        <v>5140.702430332587</v>
      </c>
      <c r="D32" s="143">
        <f t="shared" ref="D32:N32" si="12">(D$7/$Q$7)*$Q32</f>
        <v>4600.8480998744626</v>
      </c>
      <c r="E32" s="143">
        <f t="shared" si="12"/>
        <v>3972.3609688933625</v>
      </c>
      <c r="F32" s="143">
        <f t="shared" si="12"/>
        <v>3484.8805660169969</v>
      </c>
      <c r="G32" s="143">
        <f t="shared" si="12"/>
        <v>2735.530525231839</v>
      </c>
      <c r="H32" s="143">
        <f t="shared" si="12"/>
        <v>3166.6082368663115</v>
      </c>
      <c r="I32" s="143">
        <f t="shared" si="12"/>
        <v>3077.9754363433358</v>
      </c>
      <c r="J32" s="143">
        <f t="shared" si="12"/>
        <v>3569.484602879837</v>
      </c>
      <c r="K32" s="143">
        <f t="shared" si="12"/>
        <v>3718.5488583048414</v>
      </c>
      <c r="L32" s="143">
        <f t="shared" si="12"/>
        <v>5446.888468502867</v>
      </c>
      <c r="M32" s="143">
        <f t="shared" si="12"/>
        <v>5140.702430332587</v>
      </c>
      <c r="N32" s="143">
        <f t="shared" si="12"/>
        <v>4693.4693764209715</v>
      </c>
      <c r="O32" s="76">
        <v>48500</v>
      </c>
      <c r="P32" s="64">
        <f t="shared" si="11"/>
        <v>48748.000000000007</v>
      </c>
      <c r="Q32" s="135">
        <v>48748</v>
      </c>
      <c r="R32" s="146"/>
    </row>
    <row r="33" spans="1:18" x14ac:dyDescent="0.3">
      <c r="A33" s="175"/>
      <c r="B33" s="101" t="s">
        <v>120</v>
      </c>
      <c r="C33" s="66">
        <f t="shared" ref="C33:N33" si="13">SUM(C30:C32)</f>
        <v>10530.954818970924</v>
      </c>
      <c r="D33" s="67">
        <f t="shared" si="13"/>
        <v>10201.513885548666</v>
      </c>
      <c r="E33" s="67">
        <f t="shared" si="13"/>
        <v>8084.182548911198</v>
      </c>
      <c r="F33" s="67">
        <f t="shared" si="13"/>
        <v>7786.7023030597538</v>
      </c>
      <c r="G33" s="67">
        <f t="shared" si="13"/>
        <v>6760.657818725469</v>
      </c>
      <c r="H33" s="67">
        <f t="shared" si="13"/>
        <v>6672.065679393123</v>
      </c>
      <c r="I33" s="67">
        <f t="shared" si="13"/>
        <v>6617.9783619655882</v>
      </c>
      <c r="J33" s="67">
        <f t="shared" si="13"/>
        <v>7709.9012478522709</v>
      </c>
      <c r="K33" s="67">
        <f t="shared" si="13"/>
        <v>7800.8662817076711</v>
      </c>
      <c r="L33" s="67">
        <f t="shared" si="13"/>
        <v>10959.951206571244</v>
      </c>
      <c r="M33" s="67">
        <f t="shared" si="13"/>
        <v>11173.104110003396</v>
      </c>
      <c r="N33" s="67">
        <f t="shared" si="13"/>
        <v>9449.5137838956871</v>
      </c>
      <c r="O33" s="163"/>
      <c r="P33" s="69">
        <f>SUM(P30:P32)</f>
        <v>103747.392046605</v>
      </c>
      <c r="Q33" s="136">
        <v>173206.2</v>
      </c>
      <c r="R33" s="146"/>
    </row>
    <row r="34" spans="1:18" x14ac:dyDescent="0.3">
      <c r="A34" s="175"/>
      <c r="B34" s="129" t="s">
        <v>69</v>
      </c>
      <c r="C34" s="83">
        <f t="shared" ref="C34:P34" si="14">SUM(C7-C33)</f>
        <v>953.04518102907605</v>
      </c>
      <c r="D34" s="83">
        <f t="shared" si="14"/>
        <v>76.486114451334288</v>
      </c>
      <c r="E34" s="83">
        <f t="shared" si="14"/>
        <v>789.81745108880204</v>
      </c>
      <c r="F34" s="83">
        <f t="shared" si="14"/>
        <v>-1.7023030597529214</v>
      </c>
      <c r="G34" s="83">
        <f t="shared" si="14"/>
        <v>-649.65781872546904</v>
      </c>
      <c r="H34" s="83">
        <f t="shared" si="14"/>
        <v>401.93432060687701</v>
      </c>
      <c r="I34" s="83">
        <f t="shared" si="14"/>
        <v>258.02163803441181</v>
      </c>
      <c r="J34" s="83">
        <f t="shared" si="14"/>
        <v>264.0987521477291</v>
      </c>
      <c r="K34" s="83">
        <f t="shared" si="14"/>
        <v>506.13371829232892</v>
      </c>
      <c r="L34" s="83">
        <f t="shared" si="14"/>
        <v>1208.0487934287557</v>
      </c>
      <c r="M34" s="83">
        <f t="shared" si="14"/>
        <v>310.89588999660373</v>
      </c>
      <c r="N34" s="83">
        <f t="shared" si="14"/>
        <v>1035.3962161043128</v>
      </c>
      <c r="O34" s="83">
        <f t="shared" si="14"/>
        <v>0</v>
      </c>
      <c r="P34" s="83">
        <f t="shared" si="14"/>
        <v>5152.5179533949995</v>
      </c>
      <c r="Q34" s="138">
        <v>544999</v>
      </c>
      <c r="R34" s="146"/>
    </row>
    <row r="35" spans="1:18" x14ac:dyDescent="0.3">
      <c r="A35" s="175"/>
      <c r="B35" s="130" t="s">
        <v>70</v>
      </c>
      <c r="C35" s="128">
        <f t="shared" ref="C35:O35" si="15">SUM(C7-C33)/C7</f>
        <v>8.2988956899083602E-2</v>
      </c>
      <c r="D35" s="128">
        <f t="shared" si="15"/>
        <v>7.4417313145878853E-3</v>
      </c>
      <c r="E35" s="128">
        <f t="shared" si="15"/>
        <v>8.9003544183998431E-2</v>
      </c>
      <c r="F35" s="128">
        <f t="shared" si="15"/>
        <v>-2.186644906554812E-4</v>
      </c>
      <c r="G35" s="128">
        <f t="shared" si="15"/>
        <v>-0.10630957596554885</v>
      </c>
      <c r="H35" s="128">
        <f t="shared" si="15"/>
        <v>5.6818535567836725E-2</v>
      </c>
      <c r="I35" s="128">
        <f t="shared" si="15"/>
        <v>3.7524961901456051E-2</v>
      </c>
      <c r="J35" s="128">
        <f t="shared" si="15"/>
        <v>3.3119983966356799E-2</v>
      </c>
      <c r="K35" s="128">
        <f t="shared" si="15"/>
        <v>6.0928580509489461E-2</v>
      </c>
      <c r="L35" s="128">
        <f t="shared" si="15"/>
        <v>9.9280801563835938E-2</v>
      </c>
      <c r="M35" s="128">
        <f t="shared" si="15"/>
        <v>2.7072090734639825E-2</v>
      </c>
      <c r="N35" s="128">
        <f t="shared" si="15"/>
        <v>9.8751082851861655E-2</v>
      </c>
      <c r="O35" s="128" t="e">
        <f t="shared" si="15"/>
        <v>#DIV/0!</v>
      </c>
      <c r="P35" s="128">
        <f>SUM(P7-P33)/P7</f>
        <v>4.7314253550760507E-2</v>
      </c>
      <c r="Q35" s="124">
        <v>4.5695079086842186E-2</v>
      </c>
      <c r="R35" s="146"/>
    </row>
    <row r="36" spans="1:18" x14ac:dyDescent="0.3">
      <c r="A36" s="175"/>
      <c r="B36" s="47"/>
      <c r="C36" s="23"/>
      <c r="D36" s="23"/>
      <c r="E36" s="23"/>
      <c r="F36" s="23"/>
      <c r="G36" s="23"/>
      <c r="H36" s="23"/>
      <c r="I36" s="23"/>
      <c r="J36" s="23"/>
      <c r="K36" s="23"/>
      <c r="L36" s="23"/>
      <c r="M36" s="23"/>
      <c r="N36" s="23"/>
      <c r="O36" s="23"/>
      <c r="P36" s="24"/>
      <c r="Q36" s="24"/>
      <c r="R36" s="146"/>
    </row>
    <row r="37" spans="1:18" x14ac:dyDescent="0.3">
      <c r="A37" s="175"/>
      <c r="B37" s="101" t="s">
        <v>121</v>
      </c>
      <c r="C37" s="9"/>
      <c r="D37" s="5"/>
      <c r="E37" s="5"/>
      <c r="F37" s="5"/>
      <c r="G37" s="5"/>
      <c r="H37" s="6"/>
      <c r="I37" s="6"/>
      <c r="J37" s="6"/>
      <c r="K37" s="6"/>
      <c r="L37" s="6"/>
      <c r="M37" s="6"/>
      <c r="N37" s="6"/>
      <c r="O37" s="7"/>
      <c r="P37" s="8"/>
      <c r="Q37" s="8"/>
      <c r="R37" s="146"/>
    </row>
    <row r="38" spans="1:18" x14ac:dyDescent="0.3">
      <c r="A38" s="175">
        <v>5410</v>
      </c>
      <c r="B38" s="126" t="s">
        <v>118</v>
      </c>
      <c r="C38" s="143">
        <v>2599.8147337782329</v>
      </c>
      <c r="D38" s="143">
        <v>2692.2477582503134</v>
      </c>
      <c r="E38" s="143">
        <v>2391.855481800852</v>
      </c>
      <c r="F38" s="143">
        <v>2497.3634386344556</v>
      </c>
      <c r="G38" s="143">
        <v>2320.985558565927</v>
      </c>
      <c r="H38" s="143">
        <v>2222.7508981170959</v>
      </c>
      <c r="I38" s="143">
        <v>2432.0596148729514</v>
      </c>
      <c r="J38" s="143">
        <v>2373.4074836415684</v>
      </c>
      <c r="K38" s="143">
        <v>2661.5146719436784</v>
      </c>
      <c r="L38" s="143">
        <v>2514.6461509351616</v>
      </c>
      <c r="M38" s="143">
        <v>2638.5666869049919</v>
      </c>
      <c r="N38" s="143">
        <v>2654.8771470227803</v>
      </c>
      <c r="O38" s="76"/>
      <c r="P38" s="64">
        <f>SUM(C38:N38)</f>
        <v>30000.089624468008</v>
      </c>
      <c r="Q38" s="135">
        <v>30000</v>
      </c>
      <c r="R38" s="146"/>
    </row>
    <row r="39" spans="1:18" x14ac:dyDescent="0.3">
      <c r="A39" s="175">
        <v>5420</v>
      </c>
      <c r="B39" s="126" t="s">
        <v>119</v>
      </c>
      <c r="C39" s="143">
        <f t="shared" ref="C39:N43" si="16">(C$8/$Q$8)*$Q39</f>
        <v>2692.2477582503134</v>
      </c>
      <c r="D39" s="143">
        <f t="shared" si="16"/>
        <v>2599.8147337782329</v>
      </c>
      <c r="E39" s="143">
        <f t="shared" si="16"/>
        <v>2497.3634386344556</v>
      </c>
      <c r="F39" s="143">
        <f t="shared" si="16"/>
        <v>2391.855481800852</v>
      </c>
      <c r="G39" s="143">
        <f t="shared" si="16"/>
        <v>2222.7508981170959</v>
      </c>
      <c r="H39" s="143">
        <f t="shared" si="16"/>
        <v>2320.985558565927</v>
      </c>
      <c r="I39" s="143">
        <f t="shared" si="16"/>
        <v>2373.4074836415684</v>
      </c>
      <c r="J39" s="143">
        <f t="shared" si="16"/>
        <v>2432.0596148729514</v>
      </c>
      <c r="K39" s="143">
        <f t="shared" si="16"/>
        <v>2514.6461509351616</v>
      </c>
      <c r="L39" s="143">
        <f t="shared" si="16"/>
        <v>2661.5146719436784</v>
      </c>
      <c r="M39" s="143">
        <f t="shared" si="16"/>
        <v>2654.8771470227803</v>
      </c>
      <c r="N39" s="143">
        <f t="shared" si="16"/>
        <v>2638.5666869049919</v>
      </c>
      <c r="O39" s="76">
        <v>30000</v>
      </c>
      <c r="P39" s="64">
        <f>SUM(C39:N39)</f>
        <v>30000.089624468008</v>
      </c>
      <c r="Q39" s="135">
        <v>30000</v>
      </c>
      <c r="R39" s="146"/>
    </row>
    <row r="40" spans="1:18" x14ac:dyDescent="0.3">
      <c r="A40" s="175">
        <v>5430</v>
      </c>
      <c r="B40" s="126" t="s">
        <v>85</v>
      </c>
      <c r="C40" s="143">
        <f>(C$8/$Q$8)*$Q40</f>
        <v>753.82937231008771</v>
      </c>
      <c r="D40" s="143">
        <f t="shared" si="16"/>
        <v>727.94812545790523</v>
      </c>
      <c r="E40" s="143">
        <f t="shared" si="16"/>
        <v>699.26176281764754</v>
      </c>
      <c r="F40" s="143">
        <f t="shared" si="16"/>
        <v>669.71953490423857</v>
      </c>
      <c r="G40" s="143">
        <f t="shared" si="16"/>
        <v>622.37025147278678</v>
      </c>
      <c r="H40" s="143">
        <f t="shared" si="16"/>
        <v>649.87595639845949</v>
      </c>
      <c r="I40" s="143">
        <f t="shared" si="16"/>
        <v>664.55409541963911</v>
      </c>
      <c r="J40" s="143">
        <f t="shared" si="16"/>
        <v>680.97669216442637</v>
      </c>
      <c r="K40" s="143">
        <f t="shared" si="16"/>
        <v>704.1009222618452</v>
      </c>
      <c r="L40" s="143">
        <f t="shared" si="16"/>
        <v>745.22410814422994</v>
      </c>
      <c r="M40" s="143">
        <f t="shared" si="16"/>
        <v>743.3656011663785</v>
      </c>
      <c r="N40" s="143">
        <f t="shared" si="16"/>
        <v>738.79867233339769</v>
      </c>
      <c r="O40" s="76">
        <f>SUM(C40:N40)</f>
        <v>8400.025094851042</v>
      </c>
      <c r="P40" s="64">
        <f t="shared" ref="P40:P43" si="17">SUM(C40:N40)</f>
        <v>8400.025094851042</v>
      </c>
      <c r="Q40" s="135">
        <v>8400</v>
      </c>
      <c r="R40" s="146"/>
    </row>
    <row r="41" spans="1:18" x14ac:dyDescent="0.3">
      <c r="A41" s="175">
        <v>5440</v>
      </c>
      <c r="B41" s="126" t="s">
        <v>86</v>
      </c>
      <c r="C41" s="143">
        <f t="shared" ref="C41:C43" si="18">(C$8/$Q$8)*$Q41</f>
        <v>188.45734307752193</v>
      </c>
      <c r="D41" s="143">
        <f t="shared" si="16"/>
        <v>181.98703136447631</v>
      </c>
      <c r="E41" s="143">
        <f t="shared" si="16"/>
        <v>174.81544070441188</v>
      </c>
      <c r="F41" s="143">
        <f t="shared" si="16"/>
        <v>167.42988372605964</v>
      </c>
      <c r="G41" s="143">
        <f t="shared" si="16"/>
        <v>155.59256286819669</v>
      </c>
      <c r="H41" s="143">
        <f t="shared" si="16"/>
        <v>162.46898909961487</v>
      </c>
      <c r="I41" s="143">
        <f t="shared" si="16"/>
        <v>166.13852385490978</v>
      </c>
      <c r="J41" s="143">
        <f t="shared" si="16"/>
        <v>170.24417304110659</v>
      </c>
      <c r="K41" s="143">
        <f t="shared" si="16"/>
        <v>176.0252305654613</v>
      </c>
      <c r="L41" s="143">
        <f t="shared" si="16"/>
        <v>186.30602703605749</v>
      </c>
      <c r="M41" s="143">
        <f t="shared" si="16"/>
        <v>185.84140029159462</v>
      </c>
      <c r="N41" s="143">
        <f t="shared" si="16"/>
        <v>184.69966808334942</v>
      </c>
      <c r="O41" s="76">
        <f>SUM(C41:N41)</f>
        <v>2100.0062737127605</v>
      </c>
      <c r="P41" s="64">
        <f t="shared" si="17"/>
        <v>2100.0062737127605</v>
      </c>
      <c r="Q41" s="135">
        <v>2100</v>
      </c>
      <c r="R41" s="146"/>
    </row>
    <row r="42" spans="1:18" x14ac:dyDescent="0.3">
      <c r="A42" s="175">
        <v>5450</v>
      </c>
      <c r="B42" s="126" t="s">
        <v>87</v>
      </c>
      <c r="C42" s="143">
        <f t="shared" si="18"/>
        <v>192.94442267460579</v>
      </c>
      <c r="D42" s="143">
        <f t="shared" si="16"/>
        <v>186.32005592077337</v>
      </c>
      <c r="E42" s="143">
        <f t="shared" si="16"/>
        <v>178.97771310213599</v>
      </c>
      <c r="F42" s="143">
        <f t="shared" si="16"/>
        <v>171.41630952906107</v>
      </c>
      <c r="G42" s="143">
        <f t="shared" si="16"/>
        <v>159.29714769839185</v>
      </c>
      <c r="H42" s="143">
        <f t="shared" si="16"/>
        <v>166.33729836389142</v>
      </c>
      <c r="I42" s="143">
        <f t="shared" si="16"/>
        <v>170.09420299431241</v>
      </c>
      <c r="J42" s="143">
        <f t="shared" si="16"/>
        <v>174.29760573256152</v>
      </c>
      <c r="K42" s="143">
        <f t="shared" si="16"/>
        <v>180.21630748368659</v>
      </c>
      <c r="L42" s="143">
        <f t="shared" si="16"/>
        <v>190.74188482263028</v>
      </c>
      <c r="M42" s="143">
        <f t="shared" si="16"/>
        <v>190.26619553663258</v>
      </c>
      <c r="N42" s="143">
        <f t="shared" si="16"/>
        <v>189.0972792281911</v>
      </c>
      <c r="O42" s="76"/>
      <c r="P42" s="64">
        <f t="shared" si="17"/>
        <v>2150.0064230868738</v>
      </c>
      <c r="Q42" s="135">
        <v>2150</v>
      </c>
      <c r="R42" s="146"/>
    </row>
    <row r="43" spans="1:18" x14ac:dyDescent="0.3">
      <c r="A43" s="175">
        <v>5460</v>
      </c>
      <c r="B43" s="126" t="s">
        <v>122</v>
      </c>
      <c r="C43" s="143">
        <f t="shared" si="18"/>
        <v>1088.5655102525434</v>
      </c>
      <c r="D43" s="143">
        <f t="shared" si="16"/>
        <v>1051.1917573576654</v>
      </c>
      <c r="E43" s="143">
        <f t="shared" si="16"/>
        <v>1009.7672836878648</v>
      </c>
      <c r="F43" s="143">
        <f t="shared" si="16"/>
        <v>967.10689980814448</v>
      </c>
      <c r="G43" s="143">
        <f t="shared" si="16"/>
        <v>898.73227980534568</v>
      </c>
      <c r="H43" s="143">
        <f t="shared" si="16"/>
        <v>938.45182751348977</v>
      </c>
      <c r="I43" s="143">
        <f t="shared" si="16"/>
        <v>959.64775921907415</v>
      </c>
      <c r="J43" s="143">
        <f t="shared" si="16"/>
        <v>983.36277094696334</v>
      </c>
      <c r="K43" s="143">
        <f t="shared" si="16"/>
        <v>1016.7552603614503</v>
      </c>
      <c r="L43" s="143">
        <f t="shared" si="16"/>
        <v>1076.1390990225607</v>
      </c>
      <c r="M43" s="143">
        <f t="shared" si="16"/>
        <v>1073.4553264462108</v>
      </c>
      <c r="N43" s="143">
        <f t="shared" si="16"/>
        <v>1066.8604637385849</v>
      </c>
      <c r="O43" s="76"/>
      <c r="P43" s="64">
        <f t="shared" si="17"/>
        <v>12130.036238159897</v>
      </c>
      <c r="Q43" s="135">
        <v>12130</v>
      </c>
      <c r="R43" s="146"/>
    </row>
    <row r="44" spans="1:18" x14ac:dyDescent="0.3">
      <c r="A44" s="175"/>
      <c r="B44" s="131" t="s">
        <v>123</v>
      </c>
      <c r="C44" s="69">
        <f t="shared" ref="C44:O44" si="19">SUM(C38:C43)</f>
        <v>7515.8591403433047</v>
      </c>
      <c r="D44" s="69">
        <f t="shared" si="19"/>
        <v>7439.5094621293665</v>
      </c>
      <c r="E44" s="69">
        <f t="shared" si="19"/>
        <v>6952.0411207473671</v>
      </c>
      <c r="F44" s="69">
        <f t="shared" si="19"/>
        <v>6864.8915484028112</v>
      </c>
      <c r="G44" s="69">
        <f t="shared" si="19"/>
        <v>6379.7286985277442</v>
      </c>
      <c r="H44" s="69">
        <f t="shared" si="19"/>
        <v>6460.8705280584782</v>
      </c>
      <c r="I44" s="69">
        <f t="shared" si="19"/>
        <v>6765.9016800024565</v>
      </c>
      <c r="J44" s="69">
        <f t="shared" si="19"/>
        <v>6814.3483403995779</v>
      </c>
      <c r="K44" s="69">
        <f t="shared" si="19"/>
        <v>7253.2585435512829</v>
      </c>
      <c r="L44" s="69">
        <f t="shared" si="19"/>
        <v>7374.5719419043189</v>
      </c>
      <c r="M44" s="69">
        <f t="shared" si="19"/>
        <v>7486.3723573685893</v>
      </c>
      <c r="N44" s="69">
        <f t="shared" si="19"/>
        <v>7472.8999173112952</v>
      </c>
      <c r="O44" s="69">
        <f t="shared" si="19"/>
        <v>40500.031368563803</v>
      </c>
      <c r="P44" s="69">
        <f>SUM(P38:P43)</f>
        <v>84780.25327874659</v>
      </c>
      <c r="Q44" s="136">
        <v>180957</v>
      </c>
      <c r="R44" s="146"/>
    </row>
    <row r="45" spans="1:18" x14ac:dyDescent="0.3">
      <c r="A45" s="175"/>
      <c r="B45" s="82" t="s">
        <v>69</v>
      </c>
      <c r="C45" s="83">
        <f t="shared" ref="C45:P45" si="20">SUM(C8-C44)</f>
        <v>7686.4108596566957</v>
      </c>
      <c r="D45" s="83">
        <f t="shared" si="20"/>
        <v>7240.8205378706334</v>
      </c>
      <c r="E45" s="83">
        <f t="shared" si="20"/>
        <v>7149.7788792526326</v>
      </c>
      <c r="F45" s="83">
        <f t="shared" si="20"/>
        <v>6641.1584515971881</v>
      </c>
      <c r="G45" s="83">
        <f t="shared" si="20"/>
        <v>6171.4413014722559</v>
      </c>
      <c r="H45" s="83">
        <f t="shared" si="20"/>
        <v>6644.9994719415226</v>
      </c>
      <c r="I45" s="83">
        <f t="shared" si="20"/>
        <v>6635.9783199975427</v>
      </c>
      <c r="J45" s="83">
        <f t="shared" si="20"/>
        <v>6918.7216596004218</v>
      </c>
      <c r="K45" s="83">
        <f t="shared" si="20"/>
        <v>6946.151456448717</v>
      </c>
      <c r="L45" s="83">
        <f t="shared" si="20"/>
        <v>7654.1580580956806</v>
      </c>
      <c r="M45" s="83">
        <f t="shared" si="20"/>
        <v>7504.8776426314107</v>
      </c>
      <c r="N45" s="83">
        <f t="shared" si="20"/>
        <v>7426.2500826887044</v>
      </c>
      <c r="O45" s="83">
        <f t="shared" si="20"/>
        <v>-40500.031368563803</v>
      </c>
      <c r="P45" s="83">
        <f t="shared" si="20"/>
        <v>84620.74672125341</v>
      </c>
      <c r="Q45" s="138">
        <v>364042</v>
      </c>
      <c r="R45" s="146"/>
    </row>
    <row r="46" spans="1:18" x14ac:dyDescent="0.3">
      <c r="A46" s="175"/>
      <c r="B46" s="84" t="s">
        <v>70</v>
      </c>
      <c r="C46" s="85">
        <f t="shared" ref="C46:O46" si="21">SUM(C8-C44)/C8</f>
        <v>0.50560941620275757</v>
      </c>
      <c r="D46" s="85">
        <f t="shared" si="21"/>
        <v>0.49323281819077863</v>
      </c>
      <c r="E46" s="85">
        <f t="shared" si="21"/>
        <v>0.50701107227667297</v>
      </c>
      <c r="F46" s="85">
        <f t="shared" si="21"/>
        <v>0.49171730088346988</v>
      </c>
      <c r="G46" s="85">
        <f t="shared" si="21"/>
        <v>0.49170247088297392</v>
      </c>
      <c r="H46" s="85">
        <f t="shared" si="21"/>
        <v>0.50702467458791534</v>
      </c>
      <c r="I46" s="85">
        <f t="shared" si="21"/>
        <v>0.49515279348849139</v>
      </c>
      <c r="J46" s="85">
        <f t="shared" si="21"/>
        <v>0.5038000723509326</v>
      </c>
      <c r="K46" s="85">
        <f t="shared" si="21"/>
        <v>0.48918592085507195</v>
      </c>
      <c r="L46" s="85">
        <f t="shared" si="21"/>
        <v>0.50930172130949725</v>
      </c>
      <c r="M46" s="85">
        <f t="shared" si="21"/>
        <v>0.50061720287710565</v>
      </c>
      <c r="N46" s="85">
        <f t="shared" si="21"/>
        <v>0.4984344799997788</v>
      </c>
      <c r="O46" s="85" t="e">
        <f t="shared" si="21"/>
        <v>#DIV/0!</v>
      </c>
      <c r="P46" s="85">
        <f>SUM(P8-P44)/P8</f>
        <v>0.49952920420336011</v>
      </c>
      <c r="Q46" s="124">
        <v>0.40179652447142694</v>
      </c>
      <c r="R46" s="146"/>
    </row>
    <row r="47" spans="1:18" x14ac:dyDescent="0.3">
      <c r="A47" s="175"/>
      <c r="B47" s="47"/>
      <c r="C47" s="24"/>
      <c r="D47" s="24"/>
      <c r="E47" s="24"/>
      <c r="F47" s="24"/>
      <c r="G47" s="24"/>
      <c r="H47" s="24"/>
      <c r="I47" s="24"/>
      <c r="J47" s="24"/>
      <c r="K47" s="24"/>
      <c r="L47" s="24"/>
      <c r="M47" s="24"/>
      <c r="N47" s="24"/>
      <c r="O47" s="24"/>
      <c r="P47" s="24"/>
      <c r="Q47" s="24"/>
      <c r="R47" s="146"/>
    </row>
    <row r="48" spans="1:18" x14ac:dyDescent="0.3">
      <c r="A48" s="175"/>
      <c r="B48" s="127" t="s">
        <v>124</v>
      </c>
      <c r="C48" s="164">
        <f>SUM(C18,C25,C33,C44)</f>
        <v>86599.792823759621</v>
      </c>
      <c r="D48" s="164">
        <f t="shared" ref="D48:O48" si="22">SUM(D18,D25,D33,D44)</f>
        <v>77374.295967738042</v>
      </c>
      <c r="E48" s="164">
        <f t="shared" si="22"/>
        <v>66414.480064911797</v>
      </c>
      <c r="F48" s="164">
        <f t="shared" si="22"/>
        <v>61009.14535439769</v>
      </c>
      <c r="G48" s="164">
        <f t="shared" si="22"/>
        <v>48506.171298893525</v>
      </c>
      <c r="H48" s="164">
        <f t="shared" si="22"/>
        <v>54704.080299306203</v>
      </c>
      <c r="I48" s="164">
        <f t="shared" si="22"/>
        <v>54649.623154152432</v>
      </c>
      <c r="J48" s="164">
        <f t="shared" si="22"/>
        <v>60663.187890680201</v>
      </c>
      <c r="K48" s="164">
        <f t="shared" si="22"/>
        <v>64387.220822032512</v>
      </c>
      <c r="L48" s="164">
        <f t="shared" si="22"/>
        <v>89082.66376346779</v>
      </c>
      <c r="M48" s="164">
        <f t="shared" si="22"/>
        <v>87312.455331817357</v>
      </c>
      <c r="N48" s="164">
        <f t="shared" si="22"/>
        <v>79794.244942389807</v>
      </c>
      <c r="O48" s="164">
        <f t="shared" si="22"/>
        <v>812470.03136856377</v>
      </c>
      <c r="P48" s="164">
        <f>SUM(P18,P25,P33,P44)</f>
        <v>830497.36171354703</v>
      </c>
      <c r="Q48" s="140">
        <v>845958</v>
      </c>
      <c r="R48" s="149"/>
    </row>
    <row r="49" spans="1:18" x14ac:dyDescent="0.3">
      <c r="A49" s="175"/>
      <c r="B49" s="132" t="s">
        <v>125</v>
      </c>
      <c r="C49" s="165">
        <f t="shared" ref="C49:P49" si="23">SUM(C9-C48)</f>
        <v>38338.477176240383</v>
      </c>
      <c r="D49" s="165">
        <f t="shared" si="23"/>
        <v>35518.03403226196</v>
      </c>
      <c r="E49" s="165">
        <f t="shared" si="23"/>
        <v>32483.33993508821</v>
      </c>
      <c r="F49" s="165">
        <f t="shared" si="23"/>
        <v>26886.904645602313</v>
      </c>
      <c r="G49" s="165">
        <f t="shared" si="23"/>
        <v>22438.998701106473</v>
      </c>
      <c r="H49" s="165">
        <f t="shared" si="23"/>
        <v>25997.789700693793</v>
      </c>
      <c r="I49" s="165">
        <f t="shared" si="23"/>
        <v>24456.256845847573</v>
      </c>
      <c r="J49" s="165">
        <f t="shared" si="23"/>
        <v>29265.882109319806</v>
      </c>
      <c r="K49" s="165">
        <f t="shared" si="23"/>
        <v>29190.189177967492</v>
      </c>
      <c r="L49" s="165">
        <f t="shared" si="23"/>
        <v>42218.066236532221</v>
      </c>
      <c r="M49" s="165">
        <f t="shared" si="23"/>
        <v>37414.794668182643</v>
      </c>
      <c r="N49" s="165">
        <f t="shared" si="23"/>
        <v>35294.045057610201</v>
      </c>
      <c r="O49" s="165">
        <f t="shared" si="23"/>
        <v>-812470.03136856377</v>
      </c>
      <c r="P49" s="165">
        <f t="shared" si="23"/>
        <v>379502.7782864531</v>
      </c>
      <c r="Q49" s="144">
        <v>364042</v>
      </c>
      <c r="R49" s="149"/>
    </row>
    <row r="50" spans="1:18" x14ac:dyDescent="0.3">
      <c r="A50" s="175"/>
      <c r="B50" s="130" t="s">
        <v>126</v>
      </c>
      <c r="C50" s="133">
        <f t="shared" ref="C50:Q50" si="24">C49/C9</f>
        <v>0.30685935683470228</v>
      </c>
      <c r="D50" s="133">
        <f t="shared" si="24"/>
        <v>0.31461866392749588</v>
      </c>
      <c r="E50" s="133">
        <f t="shared" si="24"/>
        <v>0.32845354867365334</v>
      </c>
      <c r="F50" s="133">
        <f t="shared" si="24"/>
        <v>0.30589434503145835</v>
      </c>
      <c r="G50" s="133">
        <f t="shared" si="24"/>
        <v>0.31628648858134351</v>
      </c>
      <c r="H50" s="133">
        <f t="shared" si="24"/>
        <v>0.32214606304282412</v>
      </c>
      <c r="I50" s="133">
        <f t="shared" si="24"/>
        <v>0.30915852078059902</v>
      </c>
      <c r="J50" s="133">
        <f t="shared" si="24"/>
        <v>0.32543294520136595</v>
      </c>
      <c r="K50" s="133">
        <f t="shared" si="24"/>
        <v>0.31193628011255592</v>
      </c>
      <c r="L50" s="133">
        <f t="shared" si="24"/>
        <v>0.32153717832743367</v>
      </c>
      <c r="M50" s="133">
        <f t="shared" si="24"/>
        <v>0.29997289820935397</v>
      </c>
      <c r="N50" s="133">
        <f t="shared" si="24"/>
        <v>0.30666929761151374</v>
      </c>
      <c r="O50" s="133" t="e">
        <f t="shared" si="24"/>
        <v>#DIV/0!</v>
      </c>
      <c r="P50" s="133">
        <f t="shared" si="24"/>
        <v>0.31363862345210397</v>
      </c>
      <c r="Q50" s="133">
        <f t="shared" si="24"/>
        <v>0.30086115702479338</v>
      </c>
      <c r="R50" s="149"/>
    </row>
    <row r="51" spans="1:18" x14ac:dyDescent="0.3">
      <c r="A51" s="175"/>
      <c r="B51" s="47"/>
      <c r="C51" s="23"/>
      <c r="D51" s="23"/>
      <c r="E51" s="23"/>
      <c r="F51" s="23"/>
      <c r="G51" s="23"/>
      <c r="H51" s="23"/>
      <c r="I51" s="23"/>
      <c r="J51" s="23"/>
      <c r="K51" s="23"/>
      <c r="L51" s="23"/>
      <c r="M51" s="23"/>
      <c r="N51" s="23"/>
      <c r="O51" s="23"/>
      <c r="P51" s="24"/>
      <c r="Q51" s="24"/>
      <c r="R51" s="146"/>
    </row>
    <row r="52" spans="1:18" x14ac:dyDescent="0.3">
      <c r="A52" s="176"/>
      <c r="B52" s="65" t="s">
        <v>71</v>
      </c>
      <c r="C52" s="9"/>
      <c r="D52" s="5"/>
      <c r="E52" s="5"/>
      <c r="F52" s="5"/>
      <c r="G52" s="5"/>
      <c r="H52" s="6"/>
      <c r="I52" s="6"/>
      <c r="J52" s="6"/>
      <c r="K52" s="6"/>
      <c r="L52" s="6"/>
      <c r="M52" s="6"/>
      <c r="N52" s="6"/>
      <c r="O52" s="6"/>
      <c r="P52" s="8"/>
      <c r="Q52" s="8"/>
      <c r="R52" s="146"/>
    </row>
    <row r="53" spans="1:18" x14ac:dyDescent="0.3">
      <c r="A53" s="176">
        <v>6110</v>
      </c>
      <c r="B53" s="86" t="s">
        <v>72</v>
      </c>
      <c r="C53" s="87">
        <v>3667</v>
      </c>
      <c r="D53" s="88">
        <v>3667</v>
      </c>
      <c r="E53" s="88">
        <v>3667</v>
      </c>
      <c r="F53" s="88">
        <v>3667</v>
      </c>
      <c r="G53" s="88">
        <v>3667</v>
      </c>
      <c r="H53" s="88">
        <v>3667</v>
      </c>
      <c r="I53" s="88">
        <v>3667</v>
      </c>
      <c r="J53" s="88">
        <v>3667</v>
      </c>
      <c r="K53" s="88">
        <v>3667</v>
      </c>
      <c r="L53" s="88">
        <v>3667</v>
      </c>
      <c r="M53" s="88">
        <v>3667</v>
      </c>
      <c r="N53" s="88">
        <v>3667</v>
      </c>
      <c r="O53" s="76">
        <f t="shared" ref="O53:O70" si="25">SUM(C53:N53)</f>
        <v>44004</v>
      </c>
      <c r="P53" s="64">
        <f>SUM(C53:N53)</f>
        <v>44004</v>
      </c>
      <c r="Q53" s="135">
        <v>44004</v>
      </c>
      <c r="R53" s="149"/>
    </row>
    <row r="54" spans="1:18" x14ac:dyDescent="0.3">
      <c r="A54" s="178">
        <v>6120</v>
      </c>
      <c r="B54" s="90" t="s">
        <v>73</v>
      </c>
      <c r="C54" s="77">
        <v>910</v>
      </c>
      <c r="D54" s="77">
        <v>280</v>
      </c>
      <c r="E54" s="77">
        <v>560</v>
      </c>
      <c r="F54" s="77">
        <v>350</v>
      </c>
      <c r="G54" s="77">
        <v>280</v>
      </c>
      <c r="H54" s="77">
        <v>350</v>
      </c>
      <c r="I54" s="77">
        <v>490</v>
      </c>
      <c r="J54" s="77">
        <v>700</v>
      </c>
      <c r="K54" s="77">
        <v>420</v>
      </c>
      <c r="L54" s="77">
        <v>1190</v>
      </c>
      <c r="M54" s="77">
        <v>1120</v>
      </c>
      <c r="N54" s="77">
        <v>350</v>
      </c>
      <c r="O54" s="76">
        <f t="shared" si="25"/>
        <v>7000</v>
      </c>
      <c r="P54" s="64">
        <f t="shared" ref="P54:P70" si="26">SUM(C54:N54)</f>
        <v>7000</v>
      </c>
      <c r="Q54" s="135">
        <v>7000</v>
      </c>
      <c r="R54" s="149"/>
    </row>
    <row r="55" spans="1:18" x14ac:dyDescent="0.3">
      <c r="A55" s="176">
        <v>6130</v>
      </c>
      <c r="B55" s="91" t="s">
        <v>74</v>
      </c>
      <c r="C55" s="88">
        <v>120</v>
      </c>
      <c r="D55" s="88">
        <v>160</v>
      </c>
      <c r="E55" s="88">
        <v>230</v>
      </c>
      <c r="F55" s="88">
        <v>270</v>
      </c>
      <c r="G55" s="88">
        <v>290</v>
      </c>
      <c r="H55" s="88">
        <v>350</v>
      </c>
      <c r="I55" s="88">
        <v>470</v>
      </c>
      <c r="J55" s="88">
        <v>750</v>
      </c>
      <c r="K55" s="88">
        <v>1100</v>
      </c>
      <c r="L55" s="88">
        <v>3100</v>
      </c>
      <c r="M55" s="88">
        <v>2130</v>
      </c>
      <c r="N55" s="88">
        <v>2030</v>
      </c>
      <c r="O55" s="76">
        <f t="shared" si="25"/>
        <v>11000</v>
      </c>
      <c r="P55" s="64">
        <f t="shared" si="26"/>
        <v>11000</v>
      </c>
      <c r="Q55" s="135">
        <v>11000</v>
      </c>
      <c r="R55" s="149"/>
    </row>
    <row r="56" spans="1:18" x14ac:dyDescent="0.3">
      <c r="A56" s="178">
        <v>6140</v>
      </c>
      <c r="B56" s="91" t="s">
        <v>75</v>
      </c>
      <c r="C56" s="88">
        <v>1083</v>
      </c>
      <c r="D56" s="88">
        <v>1083</v>
      </c>
      <c r="E56" s="88">
        <v>1083</v>
      </c>
      <c r="F56" s="88">
        <v>1083</v>
      </c>
      <c r="G56" s="88">
        <v>1083</v>
      </c>
      <c r="H56" s="88">
        <v>1083</v>
      </c>
      <c r="I56" s="88">
        <v>1083</v>
      </c>
      <c r="J56" s="88">
        <v>1083</v>
      </c>
      <c r="K56" s="88">
        <v>1083</v>
      </c>
      <c r="L56" s="88">
        <v>1083</v>
      </c>
      <c r="M56" s="88">
        <v>1083</v>
      </c>
      <c r="N56" s="88">
        <v>1087</v>
      </c>
      <c r="O56" s="76">
        <f t="shared" si="25"/>
        <v>13000</v>
      </c>
      <c r="P56" s="64">
        <f t="shared" si="26"/>
        <v>13000</v>
      </c>
      <c r="Q56" s="135">
        <v>13000</v>
      </c>
      <c r="R56" s="149"/>
    </row>
    <row r="57" spans="1:18" x14ac:dyDescent="0.3">
      <c r="A57" s="176">
        <v>6150</v>
      </c>
      <c r="B57" s="91" t="s">
        <v>76</v>
      </c>
      <c r="C57" s="88">
        <v>1250</v>
      </c>
      <c r="D57" s="88">
        <v>1150</v>
      </c>
      <c r="E57" s="88">
        <v>1150</v>
      </c>
      <c r="F57" s="88">
        <v>850</v>
      </c>
      <c r="G57" s="88">
        <v>700</v>
      </c>
      <c r="H57" s="88">
        <v>1050</v>
      </c>
      <c r="I57" s="88">
        <v>1300</v>
      </c>
      <c r="J57" s="88">
        <v>1350</v>
      </c>
      <c r="K57" s="88">
        <v>1000</v>
      </c>
      <c r="L57" s="88">
        <v>900</v>
      </c>
      <c r="M57" s="88">
        <v>1100</v>
      </c>
      <c r="N57" s="88">
        <v>1200</v>
      </c>
      <c r="O57" s="76">
        <f t="shared" si="25"/>
        <v>13000</v>
      </c>
      <c r="P57" s="64">
        <f t="shared" si="26"/>
        <v>13000</v>
      </c>
      <c r="Q57" s="135">
        <v>13000</v>
      </c>
      <c r="R57" s="149"/>
    </row>
    <row r="58" spans="1:18" x14ac:dyDescent="0.3">
      <c r="A58" s="178">
        <v>6160</v>
      </c>
      <c r="B58" s="91" t="s">
        <v>77</v>
      </c>
      <c r="C58" s="88">
        <v>1200</v>
      </c>
      <c r="D58" s="88">
        <v>800</v>
      </c>
      <c r="E58" s="88">
        <v>900</v>
      </c>
      <c r="F58" s="88">
        <v>1100</v>
      </c>
      <c r="G58" s="88">
        <v>500</v>
      </c>
      <c r="H58" s="88">
        <v>1500</v>
      </c>
      <c r="I58" s="88">
        <v>1000</v>
      </c>
      <c r="J58" s="88">
        <v>1000</v>
      </c>
      <c r="K58" s="88">
        <v>700</v>
      </c>
      <c r="L58" s="88">
        <v>1300</v>
      </c>
      <c r="M58" s="88">
        <v>1100</v>
      </c>
      <c r="N58" s="88">
        <v>900</v>
      </c>
      <c r="O58" s="76">
        <f t="shared" si="25"/>
        <v>12000</v>
      </c>
      <c r="P58" s="64">
        <f t="shared" si="26"/>
        <v>12000</v>
      </c>
      <c r="Q58" s="135">
        <v>12000</v>
      </c>
      <c r="R58" s="149"/>
    </row>
    <row r="59" spans="1:18" x14ac:dyDescent="0.3">
      <c r="A59" s="176">
        <v>6170</v>
      </c>
      <c r="B59" s="75" t="s">
        <v>78</v>
      </c>
      <c r="C59" s="77">
        <v>2470</v>
      </c>
      <c r="D59" s="77">
        <v>760</v>
      </c>
      <c r="E59" s="77">
        <v>1520</v>
      </c>
      <c r="F59" s="77">
        <v>950</v>
      </c>
      <c r="G59" s="77">
        <v>760</v>
      </c>
      <c r="H59" s="77">
        <v>950</v>
      </c>
      <c r="I59" s="77">
        <v>1330</v>
      </c>
      <c r="J59" s="77">
        <v>1900</v>
      </c>
      <c r="K59" s="77">
        <v>1140</v>
      </c>
      <c r="L59" s="77">
        <v>3230</v>
      </c>
      <c r="M59" s="77">
        <v>3040</v>
      </c>
      <c r="N59" s="77">
        <v>950</v>
      </c>
      <c r="O59" s="76">
        <f t="shared" si="25"/>
        <v>19000</v>
      </c>
      <c r="P59" s="64">
        <f t="shared" si="26"/>
        <v>19000</v>
      </c>
      <c r="Q59" s="135">
        <v>19000</v>
      </c>
      <c r="R59" s="149"/>
    </row>
    <row r="60" spans="1:18" x14ac:dyDescent="0.3">
      <c r="A60" s="178">
        <v>6180</v>
      </c>
      <c r="B60" s="91" t="s">
        <v>79</v>
      </c>
      <c r="C60" s="88">
        <v>250</v>
      </c>
      <c r="D60" s="88">
        <v>250</v>
      </c>
      <c r="E60" s="88">
        <v>250</v>
      </c>
      <c r="F60" s="88">
        <v>250</v>
      </c>
      <c r="G60" s="88">
        <v>250</v>
      </c>
      <c r="H60" s="88">
        <v>250</v>
      </c>
      <c r="I60" s="88">
        <v>250</v>
      </c>
      <c r="J60" s="88">
        <v>250</v>
      </c>
      <c r="K60" s="88">
        <v>250</v>
      </c>
      <c r="L60" s="88">
        <v>250</v>
      </c>
      <c r="M60" s="88">
        <v>250</v>
      </c>
      <c r="N60" s="88">
        <v>250</v>
      </c>
      <c r="O60" s="76">
        <f t="shared" si="25"/>
        <v>3000</v>
      </c>
      <c r="P60" s="64">
        <f t="shared" si="26"/>
        <v>3000</v>
      </c>
      <c r="Q60" s="135">
        <v>3000</v>
      </c>
      <c r="R60" s="149"/>
    </row>
    <row r="61" spans="1:18" x14ac:dyDescent="0.3">
      <c r="A61" s="176">
        <v>6190</v>
      </c>
      <c r="B61" s="91" t="s">
        <v>80</v>
      </c>
      <c r="C61" s="88">
        <v>250</v>
      </c>
      <c r="D61" s="88">
        <v>250</v>
      </c>
      <c r="E61" s="88">
        <v>250</v>
      </c>
      <c r="F61" s="88">
        <v>250</v>
      </c>
      <c r="G61" s="88">
        <v>250</v>
      </c>
      <c r="H61" s="88">
        <v>250</v>
      </c>
      <c r="I61" s="88">
        <v>250</v>
      </c>
      <c r="J61" s="88">
        <v>250</v>
      </c>
      <c r="K61" s="88">
        <v>250</v>
      </c>
      <c r="L61" s="88">
        <v>250</v>
      </c>
      <c r="M61" s="88">
        <v>250</v>
      </c>
      <c r="N61" s="88">
        <v>250</v>
      </c>
      <c r="O61" s="76">
        <f t="shared" si="25"/>
        <v>3000</v>
      </c>
      <c r="P61" s="64">
        <f t="shared" si="26"/>
        <v>3000</v>
      </c>
      <c r="Q61" s="135">
        <v>3000</v>
      </c>
      <c r="R61" s="149"/>
    </row>
    <row r="62" spans="1:18" x14ac:dyDescent="0.3">
      <c r="A62" s="178">
        <v>6200</v>
      </c>
      <c r="B62" s="93" t="s">
        <v>83</v>
      </c>
      <c r="C62" s="88">
        <v>4166.666666666667</v>
      </c>
      <c r="D62" s="88">
        <v>4166.666666666667</v>
      </c>
      <c r="E62" s="88">
        <v>4166.666666666667</v>
      </c>
      <c r="F62" s="88">
        <v>4166.666666666667</v>
      </c>
      <c r="G62" s="88">
        <v>4166.666666666667</v>
      </c>
      <c r="H62" s="88">
        <v>4166.666666666667</v>
      </c>
      <c r="I62" s="88">
        <v>4166.666666666667</v>
      </c>
      <c r="J62" s="88">
        <v>4166.666666666667</v>
      </c>
      <c r="K62" s="88">
        <v>4166.666666666667</v>
      </c>
      <c r="L62" s="88">
        <v>4166.666666666667</v>
      </c>
      <c r="M62" s="88">
        <v>4166.666666666667</v>
      </c>
      <c r="N62" s="88">
        <v>4166.666666666667</v>
      </c>
      <c r="O62" s="76">
        <f t="shared" si="25"/>
        <v>49999.999999999993</v>
      </c>
      <c r="P62" s="64">
        <f t="shared" si="26"/>
        <v>49999.999999999993</v>
      </c>
      <c r="Q62" s="135">
        <v>49999.999999999993</v>
      </c>
      <c r="R62" s="149"/>
    </row>
    <row r="63" spans="1:18" x14ac:dyDescent="0.3">
      <c r="A63" s="176">
        <v>6210</v>
      </c>
      <c r="B63" s="91" t="s">
        <v>84</v>
      </c>
      <c r="C63" s="88">
        <f t="shared" ref="C63:N63" si="27">SUM((C62+C39+C16+C30)*0.1049)</f>
        <v>1683.5981519884429</v>
      </c>
      <c r="D63" s="88">
        <f t="shared" si="27"/>
        <v>1632.3372245385917</v>
      </c>
      <c r="E63" s="88">
        <f t="shared" si="27"/>
        <v>1447.4794575846822</v>
      </c>
      <c r="F63" s="88">
        <f t="shared" si="27"/>
        <v>1383.8567469045513</v>
      </c>
      <c r="G63" s="88">
        <f t="shared" si="27"/>
        <v>1200.0386874952258</v>
      </c>
      <c r="H63" s="88">
        <f t="shared" si="27"/>
        <v>1293.8301012991162</v>
      </c>
      <c r="I63" s="88">
        <f t="shared" si="27"/>
        <v>1282.1636925077585</v>
      </c>
      <c r="J63" s="88">
        <f t="shared" si="27"/>
        <v>1435.9155005148393</v>
      </c>
      <c r="K63" s="88">
        <f t="shared" si="27"/>
        <v>1368.6034939519518</v>
      </c>
      <c r="L63" s="88">
        <f t="shared" si="27"/>
        <v>1666.2578485623956</v>
      </c>
      <c r="M63" s="88">
        <f t="shared" si="27"/>
        <v>1816.047974870675</v>
      </c>
      <c r="N63" s="88">
        <f t="shared" si="27"/>
        <v>1622.8507705101561</v>
      </c>
      <c r="O63" s="88">
        <f t="shared" ref="O63" si="28">SUM(O62*0.1059)</f>
        <v>5294.9999999999991</v>
      </c>
      <c r="P63" s="64">
        <f t="shared" si="26"/>
        <v>17832.979650728386</v>
      </c>
      <c r="Q63" s="139">
        <v>5294.9999999999991</v>
      </c>
      <c r="R63" s="149"/>
    </row>
    <row r="64" spans="1:18" x14ac:dyDescent="0.3">
      <c r="A64" s="178">
        <v>6220</v>
      </c>
      <c r="B64" s="91" t="s">
        <v>85</v>
      </c>
      <c r="C64" s="88">
        <f>$P64/12</f>
        <v>1550</v>
      </c>
      <c r="D64" s="88">
        <f t="shared" ref="D64:N64" si="29">$P64/12</f>
        <v>1550</v>
      </c>
      <c r="E64" s="88">
        <f t="shared" si="29"/>
        <v>1550</v>
      </c>
      <c r="F64" s="88">
        <f t="shared" si="29"/>
        <v>1550</v>
      </c>
      <c r="G64" s="88">
        <f t="shared" si="29"/>
        <v>1550</v>
      </c>
      <c r="H64" s="88">
        <f t="shared" si="29"/>
        <v>1550</v>
      </c>
      <c r="I64" s="88">
        <f t="shared" si="29"/>
        <v>1550</v>
      </c>
      <c r="J64" s="88">
        <f t="shared" si="29"/>
        <v>1550</v>
      </c>
      <c r="K64" s="88">
        <f t="shared" si="29"/>
        <v>1550</v>
      </c>
      <c r="L64" s="88">
        <f t="shared" si="29"/>
        <v>1550</v>
      </c>
      <c r="M64" s="88">
        <f t="shared" si="29"/>
        <v>1550</v>
      </c>
      <c r="N64" s="88">
        <f t="shared" si="29"/>
        <v>1550</v>
      </c>
      <c r="O64" s="76">
        <f t="shared" si="25"/>
        <v>18600</v>
      </c>
      <c r="P64" s="64">
        <v>18600</v>
      </c>
      <c r="Q64" s="141">
        <v>15600</v>
      </c>
      <c r="R64" s="149"/>
    </row>
    <row r="65" spans="1:18" x14ac:dyDescent="0.3">
      <c r="A65" s="176">
        <v>6230</v>
      </c>
      <c r="B65" s="75" t="s">
        <v>86</v>
      </c>
      <c r="C65" s="88">
        <v>225</v>
      </c>
      <c r="D65" s="88">
        <v>225</v>
      </c>
      <c r="E65" s="88">
        <v>225</v>
      </c>
      <c r="F65" s="88">
        <v>225</v>
      </c>
      <c r="G65" s="88">
        <v>225</v>
      </c>
      <c r="H65" s="88">
        <v>225</v>
      </c>
      <c r="I65" s="88">
        <v>225</v>
      </c>
      <c r="J65" s="88">
        <v>225</v>
      </c>
      <c r="K65" s="88">
        <v>225</v>
      </c>
      <c r="L65" s="88">
        <v>225</v>
      </c>
      <c r="M65" s="88">
        <v>225</v>
      </c>
      <c r="N65" s="88">
        <v>225</v>
      </c>
      <c r="O65" s="76">
        <f t="shared" si="25"/>
        <v>2700</v>
      </c>
      <c r="P65" s="64">
        <f t="shared" si="26"/>
        <v>2700</v>
      </c>
      <c r="Q65" s="141">
        <v>2700</v>
      </c>
      <c r="R65" s="149"/>
    </row>
    <row r="66" spans="1:18" x14ac:dyDescent="0.3">
      <c r="A66" s="178">
        <v>6240</v>
      </c>
      <c r="B66" s="75" t="s">
        <v>87</v>
      </c>
      <c r="C66" s="159" t="s">
        <v>127</v>
      </c>
      <c r="D66" s="159" t="s">
        <v>127</v>
      </c>
      <c r="E66" s="159">
        <v>1200</v>
      </c>
      <c r="F66" s="159">
        <v>450</v>
      </c>
      <c r="G66" s="159" t="s">
        <v>128</v>
      </c>
      <c r="H66" s="159">
        <v>600</v>
      </c>
      <c r="I66" s="159" t="s">
        <v>128</v>
      </c>
      <c r="J66" s="159" t="s">
        <v>128</v>
      </c>
      <c r="K66" s="159">
        <v>1600</v>
      </c>
      <c r="L66" s="159" t="s">
        <v>128</v>
      </c>
      <c r="M66" s="159">
        <v>0</v>
      </c>
      <c r="N66" s="159" t="s">
        <v>128</v>
      </c>
      <c r="O66" s="76">
        <f t="shared" si="25"/>
        <v>3850</v>
      </c>
      <c r="P66" s="64">
        <f t="shared" si="26"/>
        <v>3850</v>
      </c>
      <c r="Q66" s="141">
        <v>3850</v>
      </c>
      <c r="R66" s="149"/>
    </row>
    <row r="67" spans="1:18" x14ac:dyDescent="0.3">
      <c r="A67" s="176">
        <v>6250</v>
      </c>
      <c r="B67" s="75" t="s">
        <v>88</v>
      </c>
      <c r="C67" s="160">
        <v>910</v>
      </c>
      <c r="D67" s="160">
        <v>180</v>
      </c>
      <c r="E67" s="160">
        <v>360</v>
      </c>
      <c r="F67" s="160">
        <v>150</v>
      </c>
      <c r="G67" s="160">
        <v>250</v>
      </c>
      <c r="H67" s="160">
        <v>250</v>
      </c>
      <c r="I67" s="160">
        <v>220</v>
      </c>
      <c r="J67" s="160">
        <v>325</v>
      </c>
      <c r="K67" s="160">
        <v>130</v>
      </c>
      <c r="L67" s="160">
        <v>900</v>
      </c>
      <c r="M67" s="160">
        <v>1020</v>
      </c>
      <c r="N67" s="160">
        <v>175</v>
      </c>
      <c r="O67" s="76">
        <f t="shared" si="25"/>
        <v>4870</v>
      </c>
      <c r="P67" s="64">
        <f t="shared" si="26"/>
        <v>4870</v>
      </c>
      <c r="Q67" s="141">
        <v>4870</v>
      </c>
      <c r="R67" s="149"/>
    </row>
    <row r="68" spans="1:18" x14ac:dyDescent="0.3">
      <c r="A68" s="178">
        <v>6260</v>
      </c>
      <c r="B68" s="91" t="s">
        <v>89</v>
      </c>
      <c r="C68" s="159">
        <v>1250</v>
      </c>
      <c r="D68" s="159">
        <v>1250</v>
      </c>
      <c r="E68" s="159">
        <v>1250</v>
      </c>
      <c r="F68" s="159">
        <v>1250</v>
      </c>
      <c r="G68" s="159">
        <v>1250</v>
      </c>
      <c r="H68" s="159">
        <v>1250</v>
      </c>
      <c r="I68" s="159">
        <v>1250</v>
      </c>
      <c r="J68" s="159">
        <v>1250</v>
      </c>
      <c r="K68" s="159">
        <v>1250</v>
      </c>
      <c r="L68" s="159">
        <v>1250</v>
      </c>
      <c r="M68" s="159">
        <v>1250</v>
      </c>
      <c r="N68" s="159">
        <v>1250</v>
      </c>
      <c r="O68" s="76">
        <f t="shared" si="25"/>
        <v>15000</v>
      </c>
      <c r="P68" s="64">
        <f t="shared" si="26"/>
        <v>15000</v>
      </c>
      <c r="Q68" s="135">
        <v>15000</v>
      </c>
      <c r="R68" s="149"/>
    </row>
    <row r="69" spans="1:18" x14ac:dyDescent="0.3">
      <c r="A69" s="176">
        <v>6270</v>
      </c>
      <c r="B69" s="91" t="s">
        <v>90</v>
      </c>
      <c r="C69" s="161">
        <v>667</v>
      </c>
      <c r="D69" s="161">
        <v>667</v>
      </c>
      <c r="E69" s="161">
        <v>667</v>
      </c>
      <c r="F69" s="161">
        <v>667</v>
      </c>
      <c r="G69" s="161">
        <v>667</v>
      </c>
      <c r="H69" s="161">
        <v>667</v>
      </c>
      <c r="I69" s="161">
        <v>667</v>
      </c>
      <c r="J69" s="161">
        <v>667</v>
      </c>
      <c r="K69" s="161">
        <v>667</v>
      </c>
      <c r="L69" s="161">
        <v>667</v>
      </c>
      <c r="M69" s="161">
        <v>667</v>
      </c>
      <c r="N69" s="161">
        <v>667</v>
      </c>
      <c r="O69" s="76">
        <f t="shared" si="25"/>
        <v>8004</v>
      </c>
      <c r="P69" s="64">
        <f t="shared" si="26"/>
        <v>8004</v>
      </c>
      <c r="Q69" s="135">
        <v>8004</v>
      </c>
      <c r="R69" s="149"/>
    </row>
    <row r="70" spans="1:18" x14ac:dyDescent="0.3">
      <c r="A70" s="178">
        <v>6280</v>
      </c>
      <c r="B70" s="95" t="s">
        <v>91</v>
      </c>
      <c r="C70" s="162" t="s">
        <v>127</v>
      </c>
      <c r="D70" s="162" t="s">
        <v>128</v>
      </c>
      <c r="E70" s="162">
        <v>1700</v>
      </c>
      <c r="F70" s="162" t="s">
        <v>128</v>
      </c>
      <c r="G70" s="162" t="s">
        <v>128</v>
      </c>
      <c r="H70" s="162">
        <v>2800</v>
      </c>
      <c r="I70" s="162" t="s">
        <v>128</v>
      </c>
      <c r="J70" s="162" t="s">
        <v>128</v>
      </c>
      <c r="K70" s="162">
        <v>2500</v>
      </c>
      <c r="L70" s="162" t="s">
        <v>128</v>
      </c>
      <c r="M70" s="162" t="s">
        <v>128</v>
      </c>
      <c r="N70" s="162" t="s">
        <v>128</v>
      </c>
      <c r="O70" s="97">
        <f t="shared" si="25"/>
        <v>7000</v>
      </c>
      <c r="P70" s="64">
        <f t="shared" si="26"/>
        <v>7000</v>
      </c>
      <c r="Q70" s="135">
        <v>7000</v>
      </c>
      <c r="R70" s="149"/>
    </row>
    <row r="71" spans="1:18" x14ac:dyDescent="0.3">
      <c r="A71" s="178"/>
      <c r="B71" s="98" t="s">
        <v>92</v>
      </c>
      <c r="C71" s="69">
        <f t="shared" ref="C71:P71" si="30">SUM(C53:C70)</f>
        <v>21652.264818655112</v>
      </c>
      <c r="D71" s="69">
        <f t="shared" si="30"/>
        <v>18071.003891205259</v>
      </c>
      <c r="E71" s="69">
        <f t="shared" si="30"/>
        <v>22176.146124251351</v>
      </c>
      <c r="F71" s="69">
        <f t="shared" si="30"/>
        <v>18612.52341357122</v>
      </c>
      <c r="G71" s="69">
        <f t="shared" si="30"/>
        <v>17088.705354161895</v>
      </c>
      <c r="H71" s="69">
        <f t="shared" si="30"/>
        <v>22252.496767965786</v>
      </c>
      <c r="I71" s="69">
        <f t="shared" si="30"/>
        <v>19200.830359174426</v>
      </c>
      <c r="J71" s="69">
        <f t="shared" si="30"/>
        <v>20569.582167181507</v>
      </c>
      <c r="K71" s="69">
        <f t="shared" si="30"/>
        <v>23067.27016061862</v>
      </c>
      <c r="L71" s="69">
        <f t="shared" si="30"/>
        <v>25394.924515229064</v>
      </c>
      <c r="M71" s="69">
        <f t="shared" si="30"/>
        <v>24434.714641537343</v>
      </c>
      <c r="N71" s="69">
        <f t="shared" si="30"/>
        <v>20340.517437176823</v>
      </c>
      <c r="O71" s="69">
        <f t="shared" si="30"/>
        <v>240323</v>
      </c>
      <c r="P71" s="69">
        <f t="shared" si="30"/>
        <v>252860.97965072838</v>
      </c>
      <c r="Q71" s="136">
        <v>237323</v>
      </c>
      <c r="R71" s="149"/>
    </row>
    <row r="72" spans="1:18" x14ac:dyDescent="0.3">
      <c r="A72" s="176"/>
      <c r="B72" s="101" t="s">
        <v>93</v>
      </c>
      <c r="C72" s="102"/>
      <c r="D72" s="102"/>
      <c r="E72" s="102"/>
      <c r="F72" s="102"/>
      <c r="G72" s="102"/>
      <c r="H72" s="102"/>
      <c r="I72" s="102"/>
      <c r="J72" s="102"/>
      <c r="K72" s="102"/>
      <c r="L72" s="102"/>
      <c r="M72" s="102"/>
      <c r="N72" s="102"/>
      <c r="O72" s="102"/>
      <c r="P72" s="103"/>
      <c r="Q72" s="103"/>
      <c r="R72" s="149"/>
    </row>
    <row r="73" spans="1:18" x14ac:dyDescent="0.3">
      <c r="A73" s="176">
        <v>6310</v>
      </c>
      <c r="B73" s="104" t="s">
        <v>94</v>
      </c>
      <c r="C73" s="96">
        <f t="shared" ref="C73:N75" si="31">$P73/12</f>
        <v>1250</v>
      </c>
      <c r="D73" s="96">
        <f t="shared" si="31"/>
        <v>1250</v>
      </c>
      <c r="E73" s="96">
        <f t="shared" si="31"/>
        <v>1250</v>
      </c>
      <c r="F73" s="96">
        <f t="shared" si="31"/>
        <v>1250</v>
      </c>
      <c r="G73" s="96">
        <f t="shared" si="31"/>
        <v>1250</v>
      </c>
      <c r="H73" s="96">
        <f t="shared" si="31"/>
        <v>1250</v>
      </c>
      <c r="I73" s="96">
        <f t="shared" si="31"/>
        <v>1250</v>
      </c>
      <c r="J73" s="96">
        <f t="shared" si="31"/>
        <v>1250</v>
      </c>
      <c r="K73" s="96">
        <f t="shared" si="31"/>
        <v>1250</v>
      </c>
      <c r="L73" s="96">
        <f t="shared" si="31"/>
        <v>1250</v>
      </c>
      <c r="M73" s="96">
        <f t="shared" si="31"/>
        <v>1250</v>
      </c>
      <c r="N73" s="96">
        <f t="shared" si="31"/>
        <v>1250</v>
      </c>
      <c r="O73" s="105">
        <f>SUM(C73:N73)</f>
        <v>15000</v>
      </c>
      <c r="P73" s="64">
        <v>15000</v>
      </c>
      <c r="Q73" s="135">
        <v>15000</v>
      </c>
      <c r="R73" s="149"/>
    </row>
    <row r="74" spans="1:18" x14ac:dyDescent="0.3">
      <c r="A74" s="175">
        <v>6320</v>
      </c>
      <c r="B74" s="104" t="s">
        <v>95</v>
      </c>
      <c r="C74" s="96">
        <f t="shared" si="31"/>
        <v>2500</v>
      </c>
      <c r="D74" s="96">
        <f t="shared" si="31"/>
        <v>2500</v>
      </c>
      <c r="E74" s="96">
        <f t="shared" si="31"/>
        <v>2500</v>
      </c>
      <c r="F74" s="96">
        <f t="shared" si="31"/>
        <v>2500</v>
      </c>
      <c r="G74" s="96">
        <f t="shared" si="31"/>
        <v>2500</v>
      </c>
      <c r="H74" s="96">
        <f t="shared" si="31"/>
        <v>2500</v>
      </c>
      <c r="I74" s="96">
        <f t="shared" si="31"/>
        <v>2500</v>
      </c>
      <c r="J74" s="96">
        <f t="shared" si="31"/>
        <v>2500</v>
      </c>
      <c r="K74" s="96">
        <f t="shared" si="31"/>
        <v>2500</v>
      </c>
      <c r="L74" s="96">
        <f t="shared" si="31"/>
        <v>2500</v>
      </c>
      <c r="M74" s="96">
        <f t="shared" si="31"/>
        <v>2500</v>
      </c>
      <c r="N74" s="96">
        <f t="shared" si="31"/>
        <v>2500</v>
      </c>
      <c r="O74" s="105">
        <f>SUM(C74:N74)</f>
        <v>30000</v>
      </c>
      <c r="P74" s="64">
        <v>30000</v>
      </c>
      <c r="Q74" s="135">
        <v>30000</v>
      </c>
      <c r="R74" s="148"/>
    </row>
    <row r="75" spans="1:18" x14ac:dyDescent="0.3">
      <c r="A75" s="176">
        <v>6330</v>
      </c>
      <c r="B75" s="104" t="s">
        <v>96</v>
      </c>
      <c r="C75" s="96">
        <f t="shared" si="31"/>
        <v>1000</v>
      </c>
      <c r="D75" s="96">
        <f t="shared" si="31"/>
        <v>1000</v>
      </c>
      <c r="E75" s="96">
        <f t="shared" si="31"/>
        <v>1000</v>
      </c>
      <c r="F75" s="96">
        <f t="shared" si="31"/>
        <v>1000</v>
      </c>
      <c r="G75" s="96">
        <f t="shared" si="31"/>
        <v>1000</v>
      </c>
      <c r="H75" s="96">
        <f t="shared" si="31"/>
        <v>1000</v>
      </c>
      <c r="I75" s="96">
        <f t="shared" si="31"/>
        <v>1000</v>
      </c>
      <c r="J75" s="96">
        <f t="shared" si="31"/>
        <v>1000</v>
      </c>
      <c r="K75" s="96">
        <f t="shared" si="31"/>
        <v>1000</v>
      </c>
      <c r="L75" s="96">
        <f t="shared" si="31"/>
        <v>1000</v>
      </c>
      <c r="M75" s="96">
        <f t="shared" si="31"/>
        <v>1000</v>
      </c>
      <c r="N75" s="96">
        <f t="shared" si="31"/>
        <v>1000</v>
      </c>
      <c r="O75" s="105">
        <f>SUM(C75:N75)</f>
        <v>12000</v>
      </c>
      <c r="P75" s="64">
        <v>12000</v>
      </c>
      <c r="Q75" s="135">
        <v>12000</v>
      </c>
      <c r="R75" s="149"/>
    </row>
    <row r="76" spans="1:18" x14ac:dyDescent="0.3">
      <c r="A76" s="176"/>
      <c r="B76" s="106" t="s">
        <v>97</v>
      </c>
      <c r="C76" s="107">
        <f t="shared" ref="C76:P76" si="32">SUM(C73:C75)</f>
        <v>4750</v>
      </c>
      <c r="D76" s="107">
        <f t="shared" si="32"/>
        <v>4750</v>
      </c>
      <c r="E76" s="107">
        <f t="shared" si="32"/>
        <v>4750</v>
      </c>
      <c r="F76" s="107">
        <f t="shared" si="32"/>
        <v>4750</v>
      </c>
      <c r="G76" s="107">
        <f t="shared" si="32"/>
        <v>4750</v>
      </c>
      <c r="H76" s="107">
        <f t="shared" si="32"/>
        <v>4750</v>
      </c>
      <c r="I76" s="107">
        <f t="shared" si="32"/>
        <v>4750</v>
      </c>
      <c r="J76" s="107">
        <f t="shared" si="32"/>
        <v>4750</v>
      </c>
      <c r="K76" s="107">
        <f t="shared" si="32"/>
        <v>4750</v>
      </c>
      <c r="L76" s="107">
        <f t="shared" si="32"/>
        <v>4750</v>
      </c>
      <c r="M76" s="107">
        <f t="shared" si="32"/>
        <v>4750</v>
      </c>
      <c r="N76" s="107">
        <f t="shared" si="32"/>
        <v>4750</v>
      </c>
      <c r="O76" s="107">
        <f t="shared" si="32"/>
        <v>57000</v>
      </c>
      <c r="P76" s="108">
        <f t="shared" si="32"/>
        <v>57000</v>
      </c>
      <c r="Q76" s="68">
        <v>57000</v>
      </c>
      <c r="R76" s="149"/>
    </row>
    <row r="77" spans="1:18" x14ac:dyDescent="0.3">
      <c r="A77" s="176"/>
      <c r="B77" s="106" t="s">
        <v>98</v>
      </c>
      <c r="C77" s="108">
        <f t="shared" ref="C77:P77" si="33">SUM(C71+C76)</f>
        <v>26402.264818655112</v>
      </c>
      <c r="D77" s="108">
        <f t="shared" si="33"/>
        <v>22821.003891205259</v>
      </c>
      <c r="E77" s="108">
        <f t="shared" si="33"/>
        <v>26926.146124251351</v>
      </c>
      <c r="F77" s="108">
        <f t="shared" si="33"/>
        <v>23362.52341357122</v>
      </c>
      <c r="G77" s="108">
        <f t="shared" si="33"/>
        <v>21838.705354161895</v>
      </c>
      <c r="H77" s="108">
        <f t="shared" si="33"/>
        <v>27002.496767965786</v>
      </c>
      <c r="I77" s="108">
        <f t="shared" si="33"/>
        <v>23950.830359174426</v>
      </c>
      <c r="J77" s="108">
        <f t="shared" si="33"/>
        <v>25319.582167181507</v>
      </c>
      <c r="K77" s="108">
        <f t="shared" si="33"/>
        <v>27817.27016061862</v>
      </c>
      <c r="L77" s="108">
        <f t="shared" si="33"/>
        <v>30144.924515229064</v>
      </c>
      <c r="M77" s="108">
        <f t="shared" si="33"/>
        <v>29184.714641537343</v>
      </c>
      <c r="N77" s="108">
        <f t="shared" si="33"/>
        <v>25090.517437176823</v>
      </c>
      <c r="O77" s="108">
        <f t="shared" si="33"/>
        <v>297323</v>
      </c>
      <c r="P77" s="108">
        <f t="shared" si="33"/>
        <v>309860.9796507284</v>
      </c>
      <c r="Q77" s="68">
        <v>294323</v>
      </c>
      <c r="R77" s="149"/>
    </row>
    <row r="78" spans="1:18" x14ac:dyDescent="0.3">
      <c r="A78" s="178"/>
      <c r="B78" s="109" t="s">
        <v>99</v>
      </c>
      <c r="C78" s="83">
        <f t="shared" ref="C78:O78" si="34">SUM(C49-C77)</f>
        <v>11936.212357585271</v>
      </c>
      <c r="D78" s="83">
        <f t="shared" si="34"/>
        <v>12697.030141056701</v>
      </c>
      <c r="E78" s="83">
        <f t="shared" si="34"/>
        <v>5557.1938108368595</v>
      </c>
      <c r="F78" s="83">
        <f t="shared" si="34"/>
        <v>3524.3812320310935</v>
      </c>
      <c r="G78" s="83">
        <f t="shared" si="34"/>
        <v>600.29334694457793</v>
      </c>
      <c r="H78" s="83">
        <f t="shared" si="34"/>
        <v>-1004.7070672719929</v>
      </c>
      <c r="I78" s="83">
        <f t="shared" si="34"/>
        <v>505.42648667314643</v>
      </c>
      <c r="J78" s="83">
        <f t="shared" si="34"/>
        <v>3946.2999421382992</v>
      </c>
      <c r="K78" s="83">
        <f t="shared" si="34"/>
        <v>1372.9190173488714</v>
      </c>
      <c r="L78" s="83">
        <f t="shared" si="34"/>
        <v>12073.141721303156</v>
      </c>
      <c r="M78" s="83">
        <f t="shared" si="34"/>
        <v>8230.0800266453007</v>
      </c>
      <c r="N78" s="83">
        <f t="shared" si="34"/>
        <v>10203.527620433379</v>
      </c>
      <c r="O78" s="83">
        <f t="shared" si="34"/>
        <v>-1109793.0313685639</v>
      </c>
      <c r="P78" s="83">
        <f>SUM(P49-P77)</f>
        <v>69641.798635724699</v>
      </c>
      <c r="Q78" s="138">
        <v>69719</v>
      </c>
      <c r="R78" s="149"/>
    </row>
    <row r="79" spans="1:18" x14ac:dyDescent="0.3">
      <c r="A79" s="178"/>
      <c r="B79" s="110" t="s">
        <v>100</v>
      </c>
      <c r="C79" s="111">
        <f t="shared" ref="C79:O79" si="35">SUM(C78/C9)</f>
        <v>9.5536878792905247E-2</v>
      </c>
      <c r="D79" s="111">
        <f t="shared" si="35"/>
        <v>0.11247026384393607</v>
      </c>
      <c r="E79" s="111">
        <f t="shared" si="35"/>
        <v>5.619126701515624E-2</v>
      </c>
      <c r="F79" s="111">
        <f t="shared" si="35"/>
        <v>4.0097151487821052E-2</v>
      </c>
      <c r="G79" s="111">
        <f t="shared" si="35"/>
        <v>8.4613701953857885E-3</v>
      </c>
      <c r="H79" s="111">
        <f t="shared" si="35"/>
        <v>-1.2449613215554892E-2</v>
      </c>
      <c r="I79" s="111">
        <f t="shared" si="35"/>
        <v>6.3892404290698292E-3</v>
      </c>
      <c r="J79" s="111">
        <f t="shared" si="35"/>
        <v>4.3882361311401295E-2</v>
      </c>
      <c r="K79" s="111">
        <f t="shared" si="35"/>
        <v>1.4671479124597179E-2</v>
      </c>
      <c r="L79" s="111">
        <f t="shared" si="35"/>
        <v>9.1950301580982496E-2</v>
      </c>
      <c r="M79" s="111">
        <f t="shared" si="35"/>
        <v>6.5984618651059021E-2</v>
      </c>
      <c r="N79" s="111">
        <f t="shared" si="35"/>
        <v>8.865826071821363E-2</v>
      </c>
      <c r="O79" s="111" t="e">
        <f t="shared" si="35"/>
        <v>#DIV/0!</v>
      </c>
      <c r="P79" s="111">
        <f>SUM(P78/P9)</f>
        <v>5.7555198824790793E-2</v>
      </c>
      <c r="Q79" s="124">
        <v>5.7619008264462812E-2</v>
      </c>
      <c r="R79" s="146"/>
    </row>
    <row r="80" spans="1:18" hidden="1" x14ac:dyDescent="0.3">
      <c r="A80" s="176"/>
      <c r="B80" s="112" t="s">
        <v>62</v>
      </c>
      <c r="C80" s="15" t="e">
        <f>SUM(C$71+C$76)/#REF!</f>
        <v>#REF!</v>
      </c>
      <c r="D80" s="15" t="e">
        <f>SUM(D$71+D$76)/#REF!</f>
        <v>#REF!</v>
      </c>
      <c r="E80" s="15" t="e">
        <f>SUM(E$71+E$76)/#REF!</f>
        <v>#REF!</v>
      </c>
      <c r="F80" s="15" t="e">
        <f>SUM(F$71+F$76)/#REF!</f>
        <v>#REF!</v>
      </c>
      <c r="G80" s="15" t="e">
        <f>SUM(G$71+G$76)/#REF!</f>
        <v>#REF!</v>
      </c>
      <c r="H80" s="15" t="e">
        <f>SUM(H$71+H$76)/#REF!</f>
        <v>#REF!</v>
      </c>
      <c r="I80" s="15" t="e">
        <f>SUM(I$71+I$76)/#REF!</f>
        <v>#REF!</v>
      </c>
      <c r="J80" s="15" t="e">
        <f>SUM(J$71+J$76)/#REF!</f>
        <v>#REF!</v>
      </c>
      <c r="K80" s="15" t="e">
        <f>SUM(K$71+K$76)/#REF!</f>
        <v>#REF!</v>
      </c>
      <c r="L80" s="15" t="e">
        <f>SUM(L$71+L$76)/#REF!</f>
        <v>#REF!</v>
      </c>
      <c r="M80" s="15" t="e">
        <f>SUM(M$71+M$76)/#REF!</f>
        <v>#REF!</v>
      </c>
      <c r="N80" s="15" t="e">
        <f>SUM(N$71+N$76)/#REF!</f>
        <v>#REF!</v>
      </c>
      <c r="O80" s="15" t="e">
        <f>SUM(O$71+O$76)/#REF!</f>
        <v>#REF!</v>
      </c>
      <c r="P80" s="16" t="e">
        <f>SUM(P$71+P$76)/#REF!</f>
        <v>#REF!</v>
      </c>
      <c r="Q80" s="137"/>
      <c r="R80" s="146"/>
    </row>
    <row r="81" spans="1:18" x14ac:dyDescent="0.3">
      <c r="A81" s="176"/>
      <c r="B81" s="6"/>
      <c r="C81" s="5"/>
      <c r="D81" s="5"/>
      <c r="E81" s="5"/>
      <c r="F81" s="5"/>
      <c r="G81" s="5"/>
      <c r="H81" s="6"/>
      <c r="I81" s="6"/>
      <c r="J81" s="6"/>
      <c r="K81" s="6"/>
      <c r="L81" s="6"/>
      <c r="M81" s="6"/>
      <c r="N81" s="6"/>
      <c r="O81" s="6"/>
      <c r="P81" s="113"/>
      <c r="Q81" s="113"/>
      <c r="R81" s="146"/>
    </row>
    <row r="82" spans="1:18" ht="15.75" customHeight="1" x14ac:dyDescent="0.3">
      <c r="A82" s="176"/>
      <c r="B82" s="622" t="s">
        <v>43</v>
      </c>
      <c r="C82" s="623"/>
      <c r="D82" s="623"/>
      <c r="E82" s="623"/>
      <c r="F82" s="623"/>
      <c r="G82" s="623"/>
      <c r="H82" s="623"/>
      <c r="I82" s="623"/>
      <c r="J82" s="623"/>
      <c r="K82" s="623"/>
      <c r="L82" s="623"/>
      <c r="M82" s="623"/>
      <c r="N82" s="623"/>
      <c r="O82" s="623"/>
      <c r="P82" s="624"/>
      <c r="Q82" s="123"/>
      <c r="R82" s="149"/>
    </row>
    <row r="83" spans="1:18" x14ac:dyDescent="0.3">
      <c r="A83" s="176"/>
      <c r="B83" s="114"/>
      <c r="C83" s="115"/>
      <c r="D83" s="115"/>
      <c r="E83" s="115"/>
      <c r="F83" s="115"/>
      <c r="G83" s="115"/>
      <c r="H83" s="114"/>
      <c r="I83" s="114"/>
      <c r="J83" s="114"/>
      <c r="K83" s="114"/>
      <c r="L83" s="114"/>
      <c r="M83" s="114"/>
      <c r="N83" s="114"/>
      <c r="O83" s="114"/>
      <c r="P83" s="20"/>
      <c r="Q83" s="20"/>
      <c r="R83" s="146"/>
    </row>
    <row r="84" spans="1:18" x14ac:dyDescent="0.3">
      <c r="A84" s="176"/>
      <c r="B84" s="4"/>
      <c r="C84" s="3"/>
      <c r="D84" s="3"/>
      <c r="E84" s="3"/>
      <c r="F84" s="3"/>
      <c r="G84" s="3"/>
      <c r="H84" s="4"/>
      <c r="I84" s="4"/>
      <c r="J84" s="4"/>
      <c r="K84" s="4"/>
      <c r="L84" s="4"/>
      <c r="M84" s="4"/>
      <c r="N84" s="4"/>
      <c r="O84" s="4"/>
      <c r="P84" s="21"/>
      <c r="Q84" s="21"/>
      <c r="R84" s="146"/>
    </row>
    <row r="85" spans="1:18" x14ac:dyDescent="0.3">
      <c r="A85" s="176"/>
      <c r="B85" s="4"/>
      <c r="C85" s="3"/>
      <c r="D85" s="3"/>
      <c r="E85" s="3"/>
      <c r="F85" s="3"/>
      <c r="G85" s="3"/>
      <c r="H85" s="4"/>
      <c r="I85" s="4"/>
      <c r="J85" s="4"/>
      <c r="K85" s="4"/>
      <c r="L85" s="4"/>
      <c r="M85" s="4"/>
      <c r="N85" s="4"/>
      <c r="O85" s="4"/>
      <c r="P85" s="21"/>
      <c r="Q85" s="21"/>
      <c r="R85" s="146"/>
    </row>
    <row r="86" spans="1:18" x14ac:dyDescent="0.3">
      <c r="A86" s="176"/>
      <c r="B86" s="4"/>
      <c r="C86" s="3"/>
      <c r="D86" s="3"/>
      <c r="E86" s="3"/>
      <c r="F86" s="3"/>
      <c r="G86" s="3"/>
      <c r="H86" s="4"/>
      <c r="I86" s="4"/>
      <c r="J86" s="4"/>
      <c r="K86" s="4"/>
      <c r="L86" s="4"/>
      <c r="M86" s="4"/>
      <c r="N86" s="4"/>
      <c r="O86" s="4"/>
      <c r="P86" s="21"/>
      <c r="Q86" s="21"/>
      <c r="R86" s="146"/>
    </row>
    <row r="87" spans="1:18" x14ac:dyDescent="0.3">
      <c r="A87" s="176"/>
      <c r="B87" s="4"/>
      <c r="C87" s="3"/>
      <c r="D87" s="3"/>
      <c r="E87" s="3"/>
      <c r="F87" s="3"/>
      <c r="G87" s="3"/>
      <c r="H87" s="4"/>
      <c r="I87" s="4"/>
      <c r="J87" s="4"/>
      <c r="K87" s="4"/>
      <c r="L87" s="4"/>
      <c r="M87" s="4"/>
      <c r="N87" s="4"/>
      <c r="O87" s="4"/>
      <c r="P87" s="21"/>
      <c r="Q87" s="21"/>
      <c r="R87" s="146"/>
    </row>
    <row r="88" spans="1:18" x14ac:dyDescent="0.3">
      <c r="A88" s="176"/>
      <c r="B88" s="4"/>
      <c r="C88" s="3"/>
      <c r="D88" s="3"/>
      <c r="E88" s="3"/>
      <c r="F88" s="3"/>
      <c r="G88" s="3"/>
      <c r="H88" s="4"/>
      <c r="I88" s="4"/>
      <c r="J88" s="4"/>
      <c r="K88" s="4"/>
      <c r="L88" s="4"/>
      <c r="M88" s="4"/>
      <c r="N88" s="4"/>
      <c r="O88" s="4"/>
      <c r="P88" s="21"/>
      <c r="Q88" s="21"/>
      <c r="R88" s="146"/>
    </row>
    <row r="89" spans="1:18" x14ac:dyDescent="0.3">
      <c r="A89" s="176"/>
      <c r="B89" s="4"/>
      <c r="C89" s="3"/>
      <c r="D89" s="3"/>
      <c r="E89" s="3"/>
      <c r="F89" s="3"/>
      <c r="G89" s="3"/>
      <c r="H89" s="3"/>
      <c r="I89" s="3"/>
      <c r="J89" s="3"/>
      <c r="K89" s="3"/>
      <c r="L89" s="3"/>
      <c r="M89" s="3"/>
      <c r="N89" s="3"/>
      <c r="O89" s="4"/>
      <c r="P89" s="21"/>
      <c r="Q89" s="21"/>
      <c r="R89" s="146"/>
    </row>
    <row r="90" spans="1:18" x14ac:dyDescent="0.3">
      <c r="A90" s="179"/>
    </row>
  </sheetData>
  <sheetProtection algorithmName="SHA-512" hashValue="h2k2ZYJcBpKsPea7tAGkBGjgeRqJWWUsbl7av5s/AmxsZv6avlv9gSzeCAXLugxYvFFo+dvjgPCxcFf0aGOfpQ==" saltValue="qseHbznxXRTTq74sq7Gn/Q==" spinCount="100000" sheet="1" objects="1" scenarios="1"/>
  <mergeCells count="1">
    <mergeCell ref="B82:P82"/>
  </mergeCells>
  <printOptions gridLines="1"/>
  <pageMargins left="0.7" right="0.7" top="0.75" bottom="0.75" header="0.3" footer="0.3"/>
  <headerFooter>
    <oddFooter>&amp;R&amp;P</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D7DF8-1729-4D7E-BAC2-6267672A0201}">
  <dimension ref="A1:AF90"/>
  <sheetViews>
    <sheetView zoomScale="85" zoomScaleNormal="85" workbookViewId="0">
      <pane xSplit="2" ySplit="2" topLeftCell="R3" activePane="bottomRight" state="frozen"/>
      <selection pane="topRight"/>
      <selection pane="bottomLeft"/>
      <selection pane="bottomRight" activeCell="R1" sqref="R1"/>
    </sheetView>
  </sheetViews>
  <sheetFormatPr defaultColWidth="9.109375" defaultRowHeight="14.4" x14ac:dyDescent="0.3"/>
  <cols>
    <col min="1" max="1" width="10.44140625" customWidth="1"/>
    <col min="2" max="2" width="32.6640625" customWidth="1"/>
    <col min="3" max="13" width="13.109375" customWidth="1"/>
    <col min="14" max="14" width="17.33203125" customWidth="1"/>
    <col min="15" max="15" width="17.33203125" hidden="1" customWidth="1"/>
    <col min="16" max="16" width="17.33203125" customWidth="1"/>
    <col min="17" max="17" width="17.33203125" hidden="1" customWidth="1"/>
    <col min="18" max="18" width="10.88671875" style="152" customWidth="1"/>
    <col min="19" max="19" width="15.33203125" customWidth="1"/>
    <col min="20" max="20" width="15" customWidth="1"/>
  </cols>
  <sheetData>
    <row r="1" spans="1:32" ht="66" customHeight="1" x14ac:dyDescent="0.75">
      <c r="A1" s="174"/>
      <c r="B1" s="48"/>
      <c r="C1" s="2"/>
      <c r="E1" s="3"/>
      <c r="F1" s="3"/>
      <c r="G1" s="2"/>
      <c r="H1" s="4"/>
      <c r="I1" s="4"/>
      <c r="J1" s="2"/>
      <c r="K1" s="4"/>
      <c r="L1" s="4"/>
      <c r="M1" s="4"/>
      <c r="N1" s="4"/>
      <c r="O1" s="49"/>
      <c r="P1" s="50"/>
      <c r="Q1" s="50"/>
      <c r="R1" s="146"/>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47"/>
      <c r="S2"/>
      <c r="T2"/>
      <c r="U2"/>
      <c r="V2"/>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148"/>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148"/>
    </row>
    <row r="5" spans="1:32" x14ac:dyDescent="0.3">
      <c r="A5" s="175">
        <v>4100</v>
      </c>
      <c r="B5" s="125" t="s">
        <v>102</v>
      </c>
      <c r="C5" s="158">
        <v>82940</v>
      </c>
      <c r="D5" s="158">
        <v>74230</v>
      </c>
      <c r="E5" s="158">
        <v>64090</v>
      </c>
      <c r="F5" s="158">
        <v>56225.000000000007</v>
      </c>
      <c r="G5" s="158">
        <v>44135</v>
      </c>
      <c r="H5" s="158">
        <v>51090</v>
      </c>
      <c r="I5" s="158">
        <v>49660</v>
      </c>
      <c r="J5" s="158">
        <v>57590</v>
      </c>
      <c r="K5" s="158">
        <v>59995</v>
      </c>
      <c r="L5" s="158">
        <v>87880</v>
      </c>
      <c r="M5" s="158">
        <v>82940</v>
      </c>
      <c r="N5" s="158">
        <v>75724.350000000006</v>
      </c>
      <c r="O5" s="63"/>
      <c r="P5" s="64">
        <f>SUM(C5:N5)</f>
        <v>786499.35</v>
      </c>
      <c r="Q5" s="135">
        <v>786499.35</v>
      </c>
      <c r="R5" s="170">
        <v>0.65</v>
      </c>
    </row>
    <row r="6" spans="1:32" x14ac:dyDescent="0.3">
      <c r="A6" s="175">
        <v>4200</v>
      </c>
      <c r="B6" s="125" t="s">
        <v>103</v>
      </c>
      <c r="C6" s="158">
        <v>15312</v>
      </c>
      <c r="D6" s="158">
        <v>13704</v>
      </c>
      <c r="E6" s="158">
        <v>11832</v>
      </c>
      <c r="F6" s="158">
        <v>10380</v>
      </c>
      <c r="G6" s="158">
        <v>8148</v>
      </c>
      <c r="H6" s="158">
        <v>9432</v>
      </c>
      <c r="I6" s="158">
        <v>9168</v>
      </c>
      <c r="J6" s="158">
        <v>10632</v>
      </c>
      <c r="K6" s="158">
        <v>11076</v>
      </c>
      <c r="L6" s="158">
        <v>16224</v>
      </c>
      <c r="M6" s="158">
        <v>15312</v>
      </c>
      <c r="N6" s="158">
        <v>13979.880000000003</v>
      </c>
      <c r="O6" s="63"/>
      <c r="P6" s="64">
        <f>SUM(C6:N6)</f>
        <v>145199.88</v>
      </c>
      <c r="Q6" s="135">
        <v>145199.88</v>
      </c>
      <c r="R6" s="170">
        <v>0.12</v>
      </c>
    </row>
    <row r="7" spans="1:32" x14ac:dyDescent="0.3">
      <c r="A7" s="175">
        <v>4300</v>
      </c>
      <c r="B7" s="125" t="s">
        <v>104</v>
      </c>
      <c r="C7" s="158">
        <v>11484</v>
      </c>
      <c r="D7" s="158">
        <v>10278</v>
      </c>
      <c r="E7" s="158">
        <v>8874</v>
      </c>
      <c r="F7" s="158">
        <v>7785.0000000000009</v>
      </c>
      <c r="G7" s="158">
        <v>6111</v>
      </c>
      <c r="H7" s="158">
        <v>7074</v>
      </c>
      <c r="I7" s="158">
        <v>6876</v>
      </c>
      <c r="J7" s="158">
        <v>7974</v>
      </c>
      <c r="K7" s="158">
        <v>8307</v>
      </c>
      <c r="L7" s="158">
        <v>12168</v>
      </c>
      <c r="M7" s="158">
        <v>11484</v>
      </c>
      <c r="N7" s="158">
        <v>10484.91</v>
      </c>
      <c r="O7" s="63"/>
      <c r="P7" s="64">
        <f>SUM(C7:N7)</f>
        <v>108899.91</v>
      </c>
      <c r="Q7" s="135">
        <v>108899.91</v>
      </c>
      <c r="R7" s="170">
        <v>0.09</v>
      </c>
    </row>
    <row r="8" spans="1:32" x14ac:dyDescent="0.3">
      <c r="A8" s="175">
        <v>4400</v>
      </c>
      <c r="B8" s="125" t="s">
        <v>105</v>
      </c>
      <c r="C8" s="158">
        <v>15202.27</v>
      </c>
      <c r="D8" s="158">
        <v>14680.33</v>
      </c>
      <c r="E8" s="158">
        <v>14101.82</v>
      </c>
      <c r="F8" s="158">
        <v>13506.05</v>
      </c>
      <c r="G8" s="158">
        <v>12551.17</v>
      </c>
      <c r="H8" s="158">
        <v>13105.87</v>
      </c>
      <c r="I8" s="158">
        <v>13401.88</v>
      </c>
      <c r="J8" s="158">
        <v>13733.07</v>
      </c>
      <c r="K8" s="158">
        <v>14199.41</v>
      </c>
      <c r="L8" s="158">
        <v>15028.73</v>
      </c>
      <c r="M8" s="158">
        <v>14991.25</v>
      </c>
      <c r="N8" s="126">
        <v>14899.15</v>
      </c>
      <c r="O8" s="63"/>
      <c r="P8" s="64">
        <f>SUM(C8:N8)</f>
        <v>169401</v>
      </c>
      <c r="Q8" s="135">
        <v>169400.49391902841</v>
      </c>
      <c r="R8" s="170">
        <v>0.14000000000000001</v>
      </c>
    </row>
    <row r="9" spans="1:32" x14ac:dyDescent="0.3">
      <c r="A9" s="176"/>
      <c r="B9" s="65" t="s">
        <v>61</v>
      </c>
      <c r="C9" s="157">
        <f t="shared" ref="C9:O9" si="0">SUM(C5:C8)</f>
        <v>124938.27</v>
      </c>
      <c r="D9" s="157">
        <f t="shared" si="0"/>
        <v>112892.33</v>
      </c>
      <c r="E9" s="157">
        <f t="shared" si="0"/>
        <v>98897.82</v>
      </c>
      <c r="F9" s="157">
        <f t="shared" si="0"/>
        <v>87896.05</v>
      </c>
      <c r="G9" s="157">
        <f t="shared" si="0"/>
        <v>70945.17</v>
      </c>
      <c r="H9" s="157">
        <f t="shared" si="0"/>
        <v>80701.87</v>
      </c>
      <c r="I9" s="157">
        <f t="shared" si="0"/>
        <v>79105.88</v>
      </c>
      <c r="J9" s="157">
        <f t="shared" si="0"/>
        <v>89929.07</v>
      </c>
      <c r="K9" s="157">
        <f t="shared" si="0"/>
        <v>93577.41</v>
      </c>
      <c r="L9" s="157">
        <f t="shared" si="0"/>
        <v>131300.73000000001</v>
      </c>
      <c r="M9" s="157">
        <f t="shared" si="0"/>
        <v>124727.25</v>
      </c>
      <c r="N9" s="157">
        <f t="shared" si="0"/>
        <v>115088.29000000001</v>
      </c>
      <c r="O9" s="69">
        <f t="shared" si="0"/>
        <v>0</v>
      </c>
      <c r="P9" s="69">
        <f>SUM(P5:P8)</f>
        <v>1210000.1400000001</v>
      </c>
      <c r="Q9" s="136">
        <v>1210000</v>
      </c>
      <c r="R9" s="171">
        <f>SUM(R5:R8)</f>
        <v>1</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150"/>
    </row>
    <row r="11" spans="1:32" x14ac:dyDescent="0.3">
      <c r="A11" s="177"/>
      <c r="B11" s="73"/>
      <c r="C11" s="18"/>
      <c r="D11" s="18"/>
      <c r="E11" s="18"/>
      <c r="F11" s="18"/>
      <c r="G11" s="18"/>
      <c r="H11" s="18"/>
      <c r="I11" s="18"/>
      <c r="J11" s="18"/>
      <c r="K11" s="18"/>
      <c r="L11" s="18"/>
      <c r="M11" s="18"/>
      <c r="N11" s="18"/>
      <c r="O11" s="18"/>
      <c r="P11" s="19"/>
      <c r="Q11" s="19"/>
      <c r="R11" s="151"/>
    </row>
    <row r="12" spans="1:32" x14ac:dyDescent="0.3">
      <c r="A12" s="176"/>
      <c r="B12" s="101" t="s">
        <v>106</v>
      </c>
      <c r="C12" s="9"/>
      <c r="D12" s="5"/>
      <c r="E12" s="5"/>
      <c r="F12" s="5"/>
      <c r="G12" s="5"/>
      <c r="H12" s="6"/>
      <c r="I12" s="6"/>
      <c r="J12" s="6"/>
      <c r="K12" s="6"/>
      <c r="L12" s="6"/>
      <c r="M12" s="6"/>
      <c r="N12" s="6"/>
      <c r="O12" s="7"/>
      <c r="P12" s="8"/>
      <c r="Q12" s="8"/>
      <c r="R12" s="146"/>
    </row>
    <row r="13" spans="1:32" x14ac:dyDescent="0.3">
      <c r="A13" s="176">
        <v>5110</v>
      </c>
      <c r="B13" s="145" t="s">
        <v>107</v>
      </c>
      <c r="C13" s="142">
        <f>(C$5/$Q$5)*$Q13</f>
        <v>42318.944065243028</v>
      </c>
      <c r="D13" s="142">
        <f t="shared" ref="D13:N15" si="1">(D$5/$Q$5)*$Q13</f>
        <v>37874.791632059198</v>
      </c>
      <c r="E13" s="142">
        <f t="shared" si="1"/>
        <v>32701.002232233252</v>
      </c>
      <c r="F13" s="142">
        <f t="shared" si="1"/>
        <v>28687.998915701588</v>
      </c>
      <c r="G13" s="142">
        <f t="shared" si="1"/>
        <v>22519.250015909103</v>
      </c>
      <c r="H13" s="142">
        <f t="shared" si="1"/>
        <v>26067.938899123055</v>
      </c>
      <c r="I13" s="142">
        <f t="shared" si="1"/>
        <v>25338.301932480936</v>
      </c>
      <c r="J13" s="142">
        <f t="shared" si="1"/>
        <v>29384.470565678155</v>
      </c>
      <c r="K13" s="142">
        <f t="shared" si="1"/>
        <v>30611.587282303542</v>
      </c>
      <c r="L13" s="142">
        <f t="shared" si="1"/>
        <v>44839.508131824907</v>
      </c>
      <c r="M13" s="142">
        <f t="shared" si="1"/>
        <v>42318.944065243028</v>
      </c>
      <c r="N13" s="142">
        <f t="shared" si="1"/>
        <v>38637.262262200216</v>
      </c>
      <c r="O13" s="76">
        <v>474800</v>
      </c>
      <c r="P13" s="64">
        <f t="shared" ref="P13:P16" si="2">SUM(C13:N13)</f>
        <v>401300</v>
      </c>
      <c r="Q13" s="135">
        <v>401300</v>
      </c>
      <c r="R13" s="149"/>
    </row>
    <row r="14" spans="1:32" x14ac:dyDescent="0.3">
      <c r="A14" s="176">
        <v>5120</v>
      </c>
      <c r="B14" s="145" t="s">
        <v>108</v>
      </c>
      <c r="C14" s="142">
        <f>(C$5/$Q$5)*$Q14</f>
        <v>4921.567703774962</v>
      </c>
      <c r="D14" s="142">
        <f t="shared" si="1"/>
        <v>4404.7259543189703</v>
      </c>
      <c r="E14" s="142">
        <f t="shared" si="1"/>
        <v>3803.0295892806525</v>
      </c>
      <c r="F14" s="142">
        <f t="shared" si="1"/>
        <v>3336.329203577855</v>
      </c>
      <c r="G14" s="142">
        <f t="shared" si="1"/>
        <v>2618.9219991090904</v>
      </c>
      <c r="H14" s="142">
        <f t="shared" si="1"/>
        <v>3031.6239930776801</v>
      </c>
      <c r="I14" s="142">
        <f t="shared" si="1"/>
        <v>2946.7693774953536</v>
      </c>
      <c r="J14" s="142">
        <f t="shared" si="1"/>
        <v>3417.3267911791663</v>
      </c>
      <c r="K14" s="142">
        <f t="shared" si="1"/>
        <v>3560.0368264767162</v>
      </c>
      <c r="L14" s="142">
        <f t="shared" si="1"/>
        <v>5214.701830332091</v>
      </c>
      <c r="M14" s="142">
        <f t="shared" si="1"/>
        <v>4921.567703774962</v>
      </c>
      <c r="N14" s="142">
        <f t="shared" si="1"/>
        <v>4493.3990276025024</v>
      </c>
      <c r="O14" s="76">
        <v>96670</v>
      </c>
      <c r="P14" s="64">
        <f t="shared" si="2"/>
        <v>46670</v>
      </c>
      <c r="Q14" s="135">
        <v>46670</v>
      </c>
      <c r="R14" s="149"/>
    </row>
    <row r="15" spans="1:32" x14ac:dyDescent="0.3">
      <c r="A15" s="176">
        <v>5130</v>
      </c>
      <c r="B15" s="145" t="s">
        <v>109</v>
      </c>
      <c r="C15" s="142">
        <f>(C$5/$Q$5)*$Q15</f>
        <v>1845.4560706248519</v>
      </c>
      <c r="D15" s="142">
        <f t="shared" si="1"/>
        <v>1651.6542575655021</v>
      </c>
      <c r="E15" s="142">
        <f t="shared" si="1"/>
        <v>1426.034236391931</v>
      </c>
      <c r="F15" s="142">
        <f t="shared" si="1"/>
        <v>1251.0340917637125</v>
      </c>
      <c r="G15" s="142">
        <f t="shared" si="1"/>
        <v>982.02560497983882</v>
      </c>
      <c r="H15" s="142">
        <f t="shared" si="1"/>
        <v>1136.7777989899164</v>
      </c>
      <c r="I15" s="142">
        <f t="shared" si="1"/>
        <v>1104.9595908756951</v>
      </c>
      <c r="J15" s="142">
        <f t="shared" si="1"/>
        <v>1281.4060176909238</v>
      </c>
      <c r="K15" s="142">
        <f t="shared" si="1"/>
        <v>1334.9184586102965</v>
      </c>
      <c r="L15" s="142">
        <f t="shared" si="1"/>
        <v>1955.3735168376172</v>
      </c>
      <c r="M15" s="142">
        <f t="shared" si="1"/>
        <v>1845.4560706248519</v>
      </c>
      <c r="N15" s="142">
        <f t="shared" si="1"/>
        <v>1684.9042850448639</v>
      </c>
      <c r="O15" s="76">
        <v>55500</v>
      </c>
      <c r="P15" s="64">
        <f t="shared" si="2"/>
        <v>17500</v>
      </c>
      <c r="Q15" s="135">
        <v>17500</v>
      </c>
      <c r="R15" s="149"/>
    </row>
    <row r="16" spans="1:32" x14ac:dyDescent="0.3">
      <c r="A16" s="176">
        <v>5140</v>
      </c>
      <c r="B16" s="145" t="s">
        <v>110</v>
      </c>
      <c r="C16" s="142">
        <v>7292.4555912856122</v>
      </c>
      <c r="D16" s="142">
        <v>7095.5629194734875</v>
      </c>
      <c r="E16" s="142">
        <v>5667.8520478116097</v>
      </c>
      <c r="F16" s="142">
        <v>5346.8519486379737</v>
      </c>
      <c r="G16" s="142">
        <v>4040.3339176313366</v>
      </c>
      <c r="H16" s="142">
        <v>4677.0286587013707</v>
      </c>
      <c r="I16" s="142">
        <v>4546.119459602859</v>
      </c>
      <c r="J16" s="142">
        <v>5771.6784121309192</v>
      </c>
      <c r="K16" s="142">
        <v>4992.3726573327749</v>
      </c>
      <c r="L16" s="142">
        <v>7044.8275544029375</v>
      </c>
      <c r="M16" s="142">
        <v>8592.4555912856122</v>
      </c>
      <c r="N16" s="142">
        <v>6932.177629898868</v>
      </c>
      <c r="O16" s="76">
        <v>60000</v>
      </c>
      <c r="P16" s="64">
        <f t="shared" si="2"/>
        <v>71999.71638819536</v>
      </c>
      <c r="Q16" s="135">
        <v>72000</v>
      </c>
      <c r="R16" s="149"/>
    </row>
    <row r="17" spans="1:18" x14ac:dyDescent="0.3">
      <c r="A17" s="176">
        <v>5150</v>
      </c>
      <c r="B17" s="145" t="s">
        <v>111</v>
      </c>
      <c r="C17" s="142">
        <f>(C$5/$Q$5)*$Q17</f>
        <v>1054.5463260713439</v>
      </c>
      <c r="D17" s="142">
        <f t="shared" ref="D17:N17" si="3">(D$5/$Q$5)*$Q17</f>
        <v>943.80243289457269</v>
      </c>
      <c r="E17" s="142">
        <f t="shared" si="3"/>
        <v>814.87670650967482</v>
      </c>
      <c r="F17" s="142">
        <f t="shared" si="3"/>
        <v>714.87662386497857</v>
      </c>
      <c r="G17" s="142">
        <f t="shared" si="3"/>
        <v>561.15748855990796</v>
      </c>
      <c r="H17" s="142">
        <f t="shared" si="3"/>
        <v>649.58731370852365</v>
      </c>
      <c r="I17" s="142">
        <f t="shared" si="3"/>
        <v>631.40548050039718</v>
      </c>
      <c r="J17" s="142">
        <f t="shared" si="3"/>
        <v>732.23201010909929</v>
      </c>
      <c r="K17" s="142">
        <f t="shared" si="3"/>
        <v>762.81054777731231</v>
      </c>
      <c r="L17" s="142">
        <f t="shared" si="3"/>
        <v>1117.3562953357814</v>
      </c>
      <c r="M17" s="142">
        <f t="shared" si="3"/>
        <v>1054.5463260713439</v>
      </c>
      <c r="N17" s="142">
        <f t="shared" si="3"/>
        <v>962.80244859706499</v>
      </c>
      <c r="O17" s="76"/>
      <c r="P17" s="64">
        <f t="shared" ref="P17" si="4">SUM(C17:N17)</f>
        <v>10000.000000000002</v>
      </c>
      <c r="Q17" s="135">
        <v>10000</v>
      </c>
      <c r="R17" s="149"/>
    </row>
    <row r="18" spans="1:18" x14ac:dyDescent="0.3">
      <c r="A18" s="178"/>
      <c r="B18" s="131" t="s">
        <v>112</v>
      </c>
      <c r="C18" s="69">
        <f t="shared" ref="C18:O18" si="5">SUM(C13:C17)</f>
        <v>57432.969756999795</v>
      </c>
      <c r="D18" s="69">
        <f t="shared" si="5"/>
        <v>51970.537196311736</v>
      </c>
      <c r="E18" s="69">
        <f t="shared" si="5"/>
        <v>44412.794812227126</v>
      </c>
      <c r="F18" s="69">
        <f t="shared" si="5"/>
        <v>39337.090783546104</v>
      </c>
      <c r="G18" s="69">
        <f t="shared" si="5"/>
        <v>30721.689026189273</v>
      </c>
      <c r="H18" s="69">
        <f t="shared" si="5"/>
        <v>35562.95666360054</v>
      </c>
      <c r="I18" s="69">
        <f t="shared" si="5"/>
        <v>34567.555840955247</v>
      </c>
      <c r="J18" s="69">
        <f t="shared" si="5"/>
        <v>40587.113796788268</v>
      </c>
      <c r="K18" s="69">
        <f t="shared" si="5"/>
        <v>41261.725772500642</v>
      </c>
      <c r="L18" s="69">
        <f t="shared" si="5"/>
        <v>60171.767328733331</v>
      </c>
      <c r="M18" s="69">
        <f t="shared" si="5"/>
        <v>58732.969756999795</v>
      </c>
      <c r="N18" s="69">
        <f t="shared" si="5"/>
        <v>52710.545653343514</v>
      </c>
      <c r="O18" s="69">
        <f t="shared" si="5"/>
        <v>686970</v>
      </c>
      <c r="P18" s="69">
        <f>SUM(P13:P17)</f>
        <v>547469.7163881954</v>
      </c>
      <c r="Q18" s="136">
        <v>408524</v>
      </c>
      <c r="R18" s="149"/>
    </row>
    <row r="19" spans="1:18" x14ac:dyDescent="0.3">
      <c r="A19" s="177"/>
      <c r="B19" s="82" t="s">
        <v>69</v>
      </c>
      <c r="C19" s="83">
        <f>SUM(C5-C18)</f>
        <v>25507.030243000205</v>
      </c>
      <c r="D19" s="83">
        <f t="shared" ref="D19:N19" si="6">SUM(D5-D18)</f>
        <v>22259.462803688264</v>
      </c>
      <c r="E19" s="83">
        <f t="shared" si="6"/>
        <v>19677.205187772874</v>
      </c>
      <c r="F19" s="83">
        <f t="shared" si="6"/>
        <v>16887.909216453903</v>
      </c>
      <c r="G19" s="83">
        <f t="shared" si="6"/>
        <v>13413.310973810727</v>
      </c>
      <c r="H19" s="83">
        <f t="shared" si="6"/>
        <v>15527.04333639946</v>
      </c>
      <c r="I19" s="83">
        <f t="shared" si="6"/>
        <v>15092.444159044753</v>
      </c>
      <c r="J19" s="83">
        <f t="shared" si="6"/>
        <v>17002.886203211732</v>
      </c>
      <c r="K19" s="83">
        <f t="shared" si="6"/>
        <v>18733.274227499358</v>
      </c>
      <c r="L19" s="83">
        <f t="shared" si="6"/>
        <v>27708.232671266669</v>
      </c>
      <c r="M19" s="83">
        <f t="shared" si="6"/>
        <v>24207.030243000205</v>
      </c>
      <c r="N19" s="83">
        <f t="shared" si="6"/>
        <v>23013.804346656492</v>
      </c>
      <c r="O19" s="83">
        <f>SUM(O5-O18)</f>
        <v>-686970</v>
      </c>
      <c r="P19" s="83">
        <f>SUM(P5-P18)</f>
        <v>239029.63361180457</v>
      </c>
      <c r="Q19" s="138">
        <v>801476</v>
      </c>
      <c r="R19" s="151"/>
    </row>
    <row r="20" spans="1:18" x14ac:dyDescent="0.3">
      <c r="A20" s="175"/>
      <c r="B20" s="84" t="s">
        <v>70</v>
      </c>
      <c r="C20" s="85">
        <f t="shared" ref="C20:O20" si="7">(C5-C18)/C5</f>
        <v>0.30753593251748501</v>
      </c>
      <c r="D20" s="85">
        <f t="shared" si="7"/>
        <v>0.29987151830376213</v>
      </c>
      <c r="E20" s="85">
        <f t="shared" si="7"/>
        <v>0.30702457774649516</v>
      </c>
      <c r="F20" s="85">
        <f t="shared" si="7"/>
        <v>0.30036299184444465</v>
      </c>
      <c r="G20" s="85">
        <f t="shared" si="7"/>
        <v>0.30391550863964489</v>
      </c>
      <c r="H20" s="85">
        <f t="shared" si="7"/>
        <v>0.30391550863964495</v>
      </c>
      <c r="I20" s="85">
        <f t="shared" si="7"/>
        <v>0.30391550863964467</v>
      </c>
      <c r="J20" s="85">
        <f t="shared" si="7"/>
        <v>0.2952402535720044</v>
      </c>
      <c r="K20" s="85">
        <f t="shared" si="7"/>
        <v>0.31224725772980011</v>
      </c>
      <c r="L20" s="85">
        <f t="shared" si="7"/>
        <v>0.3152962297595206</v>
      </c>
      <c r="M20" s="85">
        <f t="shared" si="7"/>
        <v>0.29186195132626241</v>
      </c>
      <c r="N20" s="85">
        <f t="shared" si="7"/>
        <v>0.30391550863964484</v>
      </c>
      <c r="O20" s="85" t="e">
        <f t="shared" si="7"/>
        <v>#DIV/0!</v>
      </c>
      <c r="P20" s="85">
        <f>(P5-P18)/P5</f>
        <v>0.30391586923982145</v>
      </c>
      <c r="Q20" s="124">
        <v>0.32475316095302559</v>
      </c>
      <c r="R20" s="148"/>
    </row>
    <row r="21" spans="1:18" x14ac:dyDescent="0.3">
      <c r="A21" s="175"/>
      <c r="B21" s="47"/>
      <c r="C21" s="24"/>
      <c r="D21" s="24"/>
      <c r="E21" s="24"/>
      <c r="F21" s="24"/>
      <c r="G21" s="24"/>
      <c r="H21" s="24"/>
      <c r="I21" s="24"/>
      <c r="J21" s="24"/>
      <c r="K21" s="24"/>
      <c r="L21" s="24"/>
      <c r="M21" s="24"/>
      <c r="N21" s="24"/>
      <c r="O21" s="24"/>
      <c r="P21" s="24"/>
      <c r="Q21" s="24"/>
      <c r="R21" s="148"/>
    </row>
    <row r="22" spans="1:18" x14ac:dyDescent="0.3">
      <c r="A22" s="175"/>
      <c r="B22" s="101" t="s">
        <v>113</v>
      </c>
      <c r="C22" s="9"/>
      <c r="D22" s="5"/>
      <c r="E22" s="5"/>
      <c r="F22" s="5"/>
      <c r="G22" s="5"/>
      <c r="H22" s="6"/>
      <c r="I22" s="6"/>
      <c r="J22" s="6"/>
      <c r="K22" s="6"/>
      <c r="L22" s="6"/>
      <c r="M22" s="6"/>
      <c r="N22" s="6"/>
      <c r="O22" s="7"/>
      <c r="P22" s="8"/>
      <c r="Q22" s="8"/>
      <c r="R22" s="146"/>
    </row>
    <row r="23" spans="1:18" x14ac:dyDescent="0.3">
      <c r="A23" s="175">
        <v>5210</v>
      </c>
      <c r="B23" s="145" t="s">
        <v>114</v>
      </c>
      <c r="C23" s="156">
        <v>10018.1900976778</v>
      </c>
      <c r="D23" s="156">
        <v>6966.1231124984397</v>
      </c>
      <c r="E23" s="156">
        <v>6241.3287118419103</v>
      </c>
      <c r="F23" s="156">
        <v>6291.3279267172902</v>
      </c>
      <c r="G23" s="156">
        <v>4130.9961413191204</v>
      </c>
      <c r="H23" s="156">
        <v>5371.0794802309701</v>
      </c>
      <c r="I23" s="156">
        <v>5998.3520647537698</v>
      </c>
      <c r="J23" s="156">
        <v>4956.2040960364402</v>
      </c>
      <c r="K23" s="156">
        <v>7246.7002038844703</v>
      </c>
      <c r="L23" s="156">
        <v>9614.8848056899005</v>
      </c>
      <c r="M23" s="156">
        <v>9018.1900976777997</v>
      </c>
      <c r="N23" s="156">
        <v>9146.6232616721009</v>
      </c>
      <c r="O23" s="97">
        <f>SUM(C23:N23)</f>
        <v>85000.000000000015</v>
      </c>
      <c r="P23" s="64">
        <f>SUM(C23:N23)</f>
        <v>85000.000000000015</v>
      </c>
      <c r="Q23" s="135">
        <v>95000</v>
      </c>
      <c r="R23" s="146"/>
    </row>
    <row r="24" spans="1:18" x14ac:dyDescent="0.3">
      <c r="A24" s="175">
        <v>5220</v>
      </c>
      <c r="B24" s="145" t="s">
        <v>109</v>
      </c>
      <c r="C24" s="156">
        <v>1101.81900976778</v>
      </c>
      <c r="D24" s="156">
        <v>796.61231124984397</v>
      </c>
      <c r="E24" s="156">
        <v>724.13287118419112</v>
      </c>
      <c r="F24" s="156">
        <v>729.13279267172902</v>
      </c>
      <c r="G24" s="156">
        <v>513.09961413191206</v>
      </c>
      <c r="H24" s="156">
        <v>637.10794802309704</v>
      </c>
      <c r="I24" s="156">
        <v>699.83520647537705</v>
      </c>
      <c r="J24" s="156">
        <v>595.62040960364402</v>
      </c>
      <c r="K24" s="156">
        <v>824.67002038844703</v>
      </c>
      <c r="L24" s="156">
        <v>961.4884805689901</v>
      </c>
      <c r="M24" s="156">
        <v>901.81900976778002</v>
      </c>
      <c r="N24" s="156">
        <v>1014.6623261672102</v>
      </c>
      <c r="O24" s="97"/>
      <c r="P24" s="64">
        <f>SUM(C24:N24)</f>
        <v>9500.0000000000018</v>
      </c>
      <c r="Q24" s="135">
        <v>9000</v>
      </c>
      <c r="R24" s="146"/>
    </row>
    <row r="25" spans="1:18" x14ac:dyDescent="0.3">
      <c r="A25" s="175"/>
      <c r="B25" s="101" t="s">
        <v>115</v>
      </c>
      <c r="C25" s="67">
        <f t="shared" ref="C25:O25" si="8">SUM(C23:C24)</f>
        <v>11120.00910744558</v>
      </c>
      <c r="D25" s="67">
        <f t="shared" si="8"/>
        <v>7762.7354237482832</v>
      </c>
      <c r="E25" s="67">
        <f t="shared" si="8"/>
        <v>6965.4615830261009</v>
      </c>
      <c r="F25" s="67">
        <f t="shared" si="8"/>
        <v>7020.4607193890188</v>
      </c>
      <c r="G25" s="67">
        <f t="shared" si="8"/>
        <v>4644.0957554510323</v>
      </c>
      <c r="H25" s="67">
        <f t="shared" si="8"/>
        <v>6008.1874282540675</v>
      </c>
      <c r="I25" s="67">
        <f t="shared" si="8"/>
        <v>6698.187271229147</v>
      </c>
      <c r="J25" s="67">
        <f t="shared" si="8"/>
        <v>5551.8245056400847</v>
      </c>
      <c r="K25" s="67">
        <f t="shared" si="8"/>
        <v>8071.3702242729178</v>
      </c>
      <c r="L25" s="67">
        <f t="shared" si="8"/>
        <v>10576.373286258891</v>
      </c>
      <c r="M25" s="67">
        <f t="shared" si="8"/>
        <v>9920.0091074455795</v>
      </c>
      <c r="N25" s="67">
        <f t="shared" si="8"/>
        <v>10161.285587839311</v>
      </c>
      <c r="O25" s="67">
        <f t="shared" si="8"/>
        <v>85000.000000000015</v>
      </c>
      <c r="P25" s="67">
        <f>SUM(P23:P24)</f>
        <v>94500.000000000015</v>
      </c>
      <c r="Q25" s="80">
        <f>SUM(Q23:Q23)</f>
        <v>95000</v>
      </c>
      <c r="R25" s="146"/>
    </row>
    <row r="26" spans="1:18" x14ac:dyDescent="0.3">
      <c r="A26" s="175"/>
      <c r="B26" s="129" t="s">
        <v>69</v>
      </c>
      <c r="C26" s="153">
        <f t="shared" ref="C26:P26" si="9">SUM(C6-C25)</f>
        <v>4191.9908925544205</v>
      </c>
      <c r="D26" s="83">
        <f t="shared" si="9"/>
        <v>5941.2645762517168</v>
      </c>
      <c r="E26" s="83">
        <f t="shared" si="9"/>
        <v>4866.5384169738991</v>
      </c>
      <c r="F26" s="83">
        <f t="shared" si="9"/>
        <v>3359.5392806109812</v>
      </c>
      <c r="G26" s="83">
        <f t="shared" si="9"/>
        <v>3503.9042445489677</v>
      </c>
      <c r="H26" s="83">
        <f t="shared" si="9"/>
        <v>3423.8125717459325</v>
      </c>
      <c r="I26" s="83">
        <f t="shared" si="9"/>
        <v>2469.812728770853</v>
      </c>
      <c r="J26" s="83">
        <f t="shared" si="9"/>
        <v>5080.1754943599153</v>
      </c>
      <c r="K26" s="83">
        <f t="shared" si="9"/>
        <v>3004.6297757270822</v>
      </c>
      <c r="L26" s="83">
        <f t="shared" si="9"/>
        <v>5647.6267137411087</v>
      </c>
      <c r="M26" s="83">
        <f t="shared" si="9"/>
        <v>5391.9908925544205</v>
      </c>
      <c r="N26" s="83">
        <f t="shared" si="9"/>
        <v>3818.5944121606917</v>
      </c>
      <c r="O26" s="83">
        <f t="shared" si="9"/>
        <v>-85000.000000000015</v>
      </c>
      <c r="P26" s="83">
        <f t="shared" si="9"/>
        <v>50699.87999999999</v>
      </c>
      <c r="Q26" s="138">
        <v>718205.2</v>
      </c>
      <c r="R26" s="146"/>
    </row>
    <row r="27" spans="1:18" x14ac:dyDescent="0.3">
      <c r="A27" s="175"/>
      <c r="B27" s="154" t="s">
        <v>70</v>
      </c>
      <c r="C27" s="85">
        <f t="shared" ref="C27:O27" si="10">SUM(C6-C25)/C6</f>
        <v>0.27377161001530959</v>
      </c>
      <c r="D27" s="85">
        <f t="shared" si="10"/>
        <v>0.43354236545911534</v>
      </c>
      <c r="E27" s="85">
        <f t="shared" si="10"/>
        <v>0.41130311164417671</v>
      </c>
      <c r="F27" s="85">
        <f t="shared" si="10"/>
        <v>0.3236550366677246</v>
      </c>
      <c r="G27" s="85">
        <f t="shared" si="10"/>
        <v>0.43003243060247515</v>
      </c>
      <c r="H27" s="85">
        <f t="shared" si="10"/>
        <v>0.36299963652946698</v>
      </c>
      <c r="I27" s="85">
        <f t="shared" si="10"/>
        <v>0.26939493114865326</v>
      </c>
      <c r="J27" s="85">
        <f t="shared" si="10"/>
        <v>0.47781936553422832</v>
      </c>
      <c r="K27" s="85">
        <f t="shared" si="10"/>
        <v>0.27127390535636353</v>
      </c>
      <c r="L27" s="85">
        <f t="shared" si="10"/>
        <v>0.34810322446629122</v>
      </c>
      <c r="M27" s="85">
        <f t="shared" si="10"/>
        <v>0.35214151597142246</v>
      </c>
      <c r="N27" s="85">
        <f t="shared" si="10"/>
        <v>0.27314929828873286</v>
      </c>
      <c r="O27" s="85" t="e">
        <f t="shared" si="10"/>
        <v>#DIV/0!</v>
      </c>
      <c r="P27" s="85">
        <f>SUM(P6-P25)/P6</f>
        <v>0.34917301584546756</v>
      </c>
      <c r="Q27" s="124">
        <v>0.31181100149669538</v>
      </c>
      <c r="R27" s="146"/>
    </row>
    <row r="28" spans="1:18" x14ac:dyDescent="0.3">
      <c r="A28" s="175"/>
      <c r="B28" s="47"/>
      <c r="C28" s="23"/>
      <c r="D28" s="23"/>
      <c r="E28" s="23"/>
      <c r="F28" s="23"/>
      <c r="G28" s="23"/>
      <c r="H28" s="23"/>
      <c r="I28" s="23"/>
      <c r="J28" s="23"/>
      <c r="K28" s="23"/>
      <c r="L28" s="23"/>
      <c r="M28" s="23"/>
      <c r="N28" s="23"/>
      <c r="O28" s="23"/>
      <c r="P28" s="24"/>
      <c r="Q28" s="24"/>
      <c r="R28" s="146"/>
    </row>
    <row r="29" spans="1:18" x14ac:dyDescent="0.3">
      <c r="A29" s="175"/>
      <c r="B29" s="167" t="s">
        <v>116</v>
      </c>
      <c r="C29" s="9"/>
      <c r="D29" s="5"/>
      <c r="E29" s="5"/>
      <c r="F29" s="5"/>
      <c r="G29" s="5"/>
      <c r="H29" s="6"/>
      <c r="I29" s="6"/>
      <c r="J29" s="6"/>
      <c r="K29" s="6"/>
      <c r="L29" s="6"/>
      <c r="M29" s="6"/>
      <c r="N29" s="6"/>
      <c r="O29" s="7"/>
      <c r="P29" s="8"/>
      <c r="Q29" s="8"/>
      <c r="R29" s="146"/>
    </row>
    <row r="30" spans="1:18" x14ac:dyDescent="0.3">
      <c r="A30" s="175">
        <v>5310</v>
      </c>
      <c r="B30" s="86" t="s">
        <v>117</v>
      </c>
      <c r="C30" s="166">
        <f>(C$7/$Q$7)*$Q30</f>
        <v>1898.1833869284187</v>
      </c>
      <c r="D30" s="143">
        <f t="shared" ref="D30:N30" si="11">(D$7/$Q$7)*$Q30</f>
        <v>1698.8443792102307</v>
      </c>
      <c r="E30" s="143">
        <f t="shared" si="11"/>
        <v>1466.7780717174146</v>
      </c>
      <c r="F30" s="143">
        <f t="shared" si="11"/>
        <v>1286.7779229569612</v>
      </c>
      <c r="G30" s="143">
        <f t="shared" si="11"/>
        <v>1010.0834794078341</v>
      </c>
      <c r="H30" s="143">
        <f t="shared" si="11"/>
        <v>1169.2571646753427</v>
      </c>
      <c r="I30" s="143">
        <f t="shared" si="11"/>
        <v>1136.5298649007148</v>
      </c>
      <c r="J30" s="143">
        <f t="shared" si="11"/>
        <v>1318.0176181963786</v>
      </c>
      <c r="K30" s="143">
        <f t="shared" si="11"/>
        <v>1373.0589859991619</v>
      </c>
      <c r="L30" s="143">
        <f t="shared" si="11"/>
        <v>2011.2413316044062</v>
      </c>
      <c r="M30" s="143">
        <f t="shared" si="11"/>
        <v>1898.1833869284187</v>
      </c>
      <c r="N30" s="143">
        <f t="shared" si="11"/>
        <v>1733.0444074747168</v>
      </c>
      <c r="O30" s="76">
        <v>18000</v>
      </c>
      <c r="P30" s="64">
        <f t="shared" ref="P30:P32" si="12">SUM(C30:N30)</f>
        <v>17999.999999999996</v>
      </c>
      <c r="Q30" s="135">
        <v>18000</v>
      </c>
      <c r="R30" s="146"/>
    </row>
    <row r="31" spans="1:18" x14ac:dyDescent="0.3">
      <c r="A31" s="175">
        <v>5320</v>
      </c>
      <c r="B31" s="168" t="s">
        <v>118</v>
      </c>
      <c r="C31" s="142">
        <v>3492.0690017099187</v>
      </c>
      <c r="D31" s="142">
        <v>3901.8214064639719</v>
      </c>
      <c r="E31" s="142">
        <v>2645.0435083004199</v>
      </c>
      <c r="F31" s="142">
        <v>3015.0438140857964</v>
      </c>
      <c r="G31" s="142">
        <v>3015.0438140857964</v>
      </c>
      <c r="H31" s="142">
        <v>2336.2002778514693</v>
      </c>
      <c r="I31" s="142">
        <v>2403.4730607215374</v>
      </c>
      <c r="J31" s="142">
        <v>2822.3990267760551</v>
      </c>
      <c r="K31" s="142">
        <v>2709.2584374036674</v>
      </c>
      <c r="L31" s="142">
        <v>3501.8214064639701</v>
      </c>
      <c r="M31" s="142">
        <v>4134.218292742391</v>
      </c>
      <c r="N31" s="142">
        <v>3023</v>
      </c>
      <c r="O31" s="76">
        <f>SUM(C31:N31)</f>
        <v>36999.392046604997</v>
      </c>
      <c r="P31" s="64">
        <f t="shared" si="12"/>
        <v>36999.392046604997</v>
      </c>
      <c r="Q31" s="135">
        <v>37000</v>
      </c>
      <c r="R31" s="155"/>
    </row>
    <row r="32" spans="1:18" x14ac:dyDescent="0.3">
      <c r="A32" s="175">
        <v>5330</v>
      </c>
      <c r="B32" s="145" t="s">
        <v>119</v>
      </c>
      <c r="C32" s="143">
        <f>(C$7/$Q$7)*$Q32</f>
        <v>5140.702430332587</v>
      </c>
      <c r="D32" s="143">
        <f t="shared" ref="D32:N32" si="13">(D$7/$Q$7)*$Q32</f>
        <v>4600.8480998744626</v>
      </c>
      <c r="E32" s="143">
        <f t="shared" si="13"/>
        <v>3972.3609688933625</v>
      </c>
      <c r="F32" s="143">
        <f t="shared" si="13"/>
        <v>3484.8805660169969</v>
      </c>
      <c r="G32" s="143">
        <f t="shared" si="13"/>
        <v>2735.530525231839</v>
      </c>
      <c r="H32" s="143">
        <f t="shared" si="13"/>
        <v>3166.6082368663115</v>
      </c>
      <c r="I32" s="143">
        <f t="shared" si="13"/>
        <v>3077.9754363433358</v>
      </c>
      <c r="J32" s="143">
        <f t="shared" si="13"/>
        <v>3569.484602879837</v>
      </c>
      <c r="K32" s="143">
        <f t="shared" si="13"/>
        <v>3718.5488583048414</v>
      </c>
      <c r="L32" s="143">
        <f t="shared" si="13"/>
        <v>5446.888468502867</v>
      </c>
      <c r="M32" s="143">
        <f t="shared" si="13"/>
        <v>5140.702430332587</v>
      </c>
      <c r="N32" s="143">
        <f t="shared" si="13"/>
        <v>4693.4693764209715</v>
      </c>
      <c r="O32" s="76">
        <v>48500</v>
      </c>
      <c r="P32" s="64">
        <f t="shared" si="12"/>
        <v>48748.000000000007</v>
      </c>
      <c r="Q32" s="135">
        <v>48748</v>
      </c>
      <c r="R32" s="146"/>
    </row>
    <row r="33" spans="1:18" x14ac:dyDescent="0.3">
      <c r="A33" s="175"/>
      <c r="B33" s="101" t="s">
        <v>120</v>
      </c>
      <c r="C33" s="66">
        <f t="shared" ref="C33:N33" si="14">SUM(C30:C32)</f>
        <v>10530.954818970924</v>
      </c>
      <c r="D33" s="67">
        <f t="shared" si="14"/>
        <v>10201.513885548666</v>
      </c>
      <c r="E33" s="67">
        <f t="shared" si="14"/>
        <v>8084.182548911198</v>
      </c>
      <c r="F33" s="67">
        <f t="shared" si="14"/>
        <v>7786.7023030597538</v>
      </c>
      <c r="G33" s="67">
        <f t="shared" si="14"/>
        <v>6760.657818725469</v>
      </c>
      <c r="H33" s="67">
        <f t="shared" si="14"/>
        <v>6672.065679393123</v>
      </c>
      <c r="I33" s="67">
        <f t="shared" si="14"/>
        <v>6617.9783619655882</v>
      </c>
      <c r="J33" s="67">
        <f t="shared" si="14"/>
        <v>7709.9012478522709</v>
      </c>
      <c r="K33" s="67">
        <f t="shared" si="14"/>
        <v>7800.8662817076711</v>
      </c>
      <c r="L33" s="67">
        <f t="shared" si="14"/>
        <v>10959.951206571244</v>
      </c>
      <c r="M33" s="67">
        <f t="shared" si="14"/>
        <v>11173.104110003396</v>
      </c>
      <c r="N33" s="67">
        <f t="shared" si="14"/>
        <v>9449.5137838956871</v>
      </c>
      <c r="O33" s="163"/>
      <c r="P33" s="69">
        <f>SUM(P30:P32)</f>
        <v>103747.392046605</v>
      </c>
      <c r="Q33" s="136">
        <v>173206.2</v>
      </c>
      <c r="R33" s="146"/>
    </row>
    <row r="34" spans="1:18" x14ac:dyDescent="0.3">
      <c r="A34" s="175"/>
      <c r="B34" s="129" t="s">
        <v>69</v>
      </c>
      <c r="C34" s="83">
        <f t="shared" ref="C34:P34" si="15">SUM(C7-C33)</f>
        <v>953.04518102907605</v>
      </c>
      <c r="D34" s="83">
        <f t="shared" si="15"/>
        <v>76.486114451334288</v>
      </c>
      <c r="E34" s="83">
        <f t="shared" si="15"/>
        <v>789.81745108880204</v>
      </c>
      <c r="F34" s="83">
        <f t="shared" si="15"/>
        <v>-1.7023030597529214</v>
      </c>
      <c r="G34" s="83">
        <f t="shared" si="15"/>
        <v>-649.65781872546904</v>
      </c>
      <c r="H34" s="83">
        <f t="shared" si="15"/>
        <v>401.93432060687701</v>
      </c>
      <c r="I34" s="83">
        <f t="shared" si="15"/>
        <v>258.02163803441181</v>
      </c>
      <c r="J34" s="83">
        <f t="shared" si="15"/>
        <v>264.0987521477291</v>
      </c>
      <c r="K34" s="83">
        <f t="shared" si="15"/>
        <v>506.13371829232892</v>
      </c>
      <c r="L34" s="83">
        <f t="shared" si="15"/>
        <v>1208.0487934287557</v>
      </c>
      <c r="M34" s="83">
        <f t="shared" si="15"/>
        <v>310.89588999660373</v>
      </c>
      <c r="N34" s="83">
        <f t="shared" si="15"/>
        <v>1035.3962161043128</v>
      </c>
      <c r="O34" s="83">
        <f t="shared" si="15"/>
        <v>0</v>
      </c>
      <c r="P34" s="83">
        <f t="shared" si="15"/>
        <v>5152.5179533949995</v>
      </c>
      <c r="Q34" s="138">
        <v>544999</v>
      </c>
      <c r="R34" s="146"/>
    </row>
    <row r="35" spans="1:18" x14ac:dyDescent="0.3">
      <c r="A35" s="175"/>
      <c r="B35" s="130" t="s">
        <v>70</v>
      </c>
      <c r="C35" s="128">
        <f t="shared" ref="C35:O35" si="16">SUM(C7-C33)/C7</f>
        <v>8.2988956899083602E-2</v>
      </c>
      <c r="D35" s="128">
        <f t="shared" si="16"/>
        <v>7.4417313145878853E-3</v>
      </c>
      <c r="E35" s="128">
        <f t="shared" si="16"/>
        <v>8.9003544183998431E-2</v>
      </c>
      <c r="F35" s="128">
        <f t="shared" si="16"/>
        <v>-2.186644906554812E-4</v>
      </c>
      <c r="G35" s="128">
        <f t="shared" si="16"/>
        <v>-0.10630957596554885</v>
      </c>
      <c r="H35" s="128">
        <f t="shared" si="16"/>
        <v>5.6818535567836725E-2</v>
      </c>
      <c r="I35" s="128">
        <f t="shared" si="16"/>
        <v>3.7524961901456051E-2</v>
      </c>
      <c r="J35" s="128">
        <f t="shared" si="16"/>
        <v>3.3119983966356799E-2</v>
      </c>
      <c r="K35" s="128">
        <f t="shared" si="16"/>
        <v>6.0928580509489461E-2</v>
      </c>
      <c r="L35" s="128">
        <f t="shared" si="16"/>
        <v>9.9280801563835938E-2</v>
      </c>
      <c r="M35" s="128">
        <f t="shared" si="16"/>
        <v>2.7072090734639825E-2</v>
      </c>
      <c r="N35" s="128">
        <f t="shared" si="16"/>
        <v>9.8751082851861655E-2</v>
      </c>
      <c r="O35" s="128" t="e">
        <f t="shared" si="16"/>
        <v>#DIV/0!</v>
      </c>
      <c r="P35" s="128">
        <f>SUM(P7-P33)/P7</f>
        <v>4.7314253550760507E-2</v>
      </c>
      <c r="Q35" s="124">
        <v>4.5695079086842186E-2</v>
      </c>
      <c r="R35" s="146"/>
    </row>
    <row r="36" spans="1:18" x14ac:dyDescent="0.3">
      <c r="A36" s="175"/>
      <c r="B36" s="47"/>
      <c r="C36" s="23"/>
      <c r="D36" s="23"/>
      <c r="E36" s="23"/>
      <c r="F36" s="23"/>
      <c r="G36" s="23"/>
      <c r="H36" s="23"/>
      <c r="I36" s="23"/>
      <c r="J36" s="23"/>
      <c r="K36" s="23"/>
      <c r="L36" s="23"/>
      <c r="M36" s="23"/>
      <c r="N36" s="23"/>
      <c r="O36" s="23"/>
      <c r="P36" s="24"/>
      <c r="Q36" s="24"/>
      <c r="R36" s="146"/>
    </row>
    <row r="37" spans="1:18" x14ac:dyDescent="0.3">
      <c r="A37" s="175"/>
      <c r="B37" s="101" t="s">
        <v>121</v>
      </c>
      <c r="C37" s="9"/>
      <c r="D37" s="5"/>
      <c r="E37" s="5"/>
      <c r="F37" s="5"/>
      <c r="G37" s="5"/>
      <c r="H37" s="6"/>
      <c r="I37" s="6"/>
      <c r="J37" s="6"/>
      <c r="K37" s="6"/>
      <c r="L37" s="6"/>
      <c r="M37" s="6"/>
      <c r="N37" s="6"/>
      <c r="O37" s="7"/>
      <c r="P37" s="8"/>
      <c r="Q37" s="8"/>
      <c r="R37" s="146"/>
    </row>
    <row r="38" spans="1:18" x14ac:dyDescent="0.3">
      <c r="A38" s="175">
        <v>5410</v>
      </c>
      <c r="B38" s="126" t="s">
        <v>118</v>
      </c>
      <c r="C38" s="143">
        <v>2599.8147337782329</v>
      </c>
      <c r="D38" s="143">
        <v>2692.2477582503134</v>
      </c>
      <c r="E38" s="143">
        <v>2391.855481800852</v>
      </c>
      <c r="F38" s="143">
        <v>2497.3634386344556</v>
      </c>
      <c r="G38" s="143">
        <v>2320.985558565927</v>
      </c>
      <c r="H38" s="143">
        <v>2222.7508981170959</v>
      </c>
      <c r="I38" s="143">
        <v>2432.0596148729514</v>
      </c>
      <c r="J38" s="143">
        <v>2373.4074836415684</v>
      </c>
      <c r="K38" s="143">
        <v>2661.5146719436784</v>
      </c>
      <c r="L38" s="143">
        <v>2514.6461509351616</v>
      </c>
      <c r="M38" s="143">
        <v>2638.5666869049919</v>
      </c>
      <c r="N38" s="143">
        <v>2654.8771470227803</v>
      </c>
      <c r="O38" s="76"/>
      <c r="P38" s="64">
        <f>SUM(C38:N38)</f>
        <v>30000.089624468008</v>
      </c>
      <c r="Q38" s="135">
        <v>30000</v>
      </c>
      <c r="R38" s="146"/>
    </row>
    <row r="39" spans="1:18" x14ac:dyDescent="0.3">
      <c r="A39" s="175">
        <v>5420</v>
      </c>
      <c r="B39" s="126" t="s">
        <v>119</v>
      </c>
      <c r="C39" s="143">
        <f t="shared" ref="C39:N43" si="17">(C$8/$Q$8)*$Q39</f>
        <v>2692.2477582503134</v>
      </c>
      <c r="D39" s="143">
        <f t="shared" si="17"/>
        <v>2599.8147337782329</v>
      </c>
      <c r="E39" s="143">
        <f t="shared" si="17"/>
        <v>2497.3634386344556</v>
      </c>
      <c r="F39" s="143">
        <f t="shared" si="17"/>
        <v>2391.855481800852</v>
      </c>
      <c r="G39" s="143">
        <f t="shared" si="17"/>
        <v>2222.7508981170959</v>
      </c>
      <c r="H39" s="143">
        <f t="shared" si="17"/>
        <v>2320.985558565927</v>
      </c>
      <c r="I39" s="143">
        <f t="shared" si="17"/>
        <v>2373.4074836415684</v>
      </c>
      <c r="J39" s="143">
        <f t="shared" si="17"/>
        <v>2432.0596148729514</v>
      </c>
      <c r="K39" s="143">
        <f t="shared" si="17"/>
        <v>2514.6461509351616</v>
      </c>
      <c r="L39" s="143">
        <f t="shared" si="17"/>
        <v>2661.5146719436784</v>
      </c>
      <c r="M39" s="143">
        <f t="shared" si="17"/>
        <v>2654.8771470227803</v>
      </c>
      <c r="N39" s="143">
        <f t="shared" si="17"/>
        <v>2638.5666869049919</v>
      </c>
      <c r="O39" s="76">
        <v>30000</v>
      </c>
      <c r="P39" s="64">
        <f>SUM(C39:N39)</f>
        <v>30000.089624468008</v>
      </c>
      <c r="Q39" s="135">
        <v>30000</v>
      </c>
      <c r="R39" s="146"/>
    </row>
    <row r="40" spans="1:18" x14ac:dyDescent="0.3">
      <c r="A40" s="175">
        <v>5430</v>
      </c>
      <c r="B40" s="126" t="s">
        <v>85</v>
      </c>
      <c r="C40" s="143">
        <f>(C$8/$Q$8)*$Q40</f>
        <v>753.82937231008771</v>
      </c>
      <c r="D40" s="143">
        <f t="shared" si="17"/>
        <v>727.94812545790523</v>
      </c>
      <c r="E40" s="143">
        <f t="shared" si="17"/>
        <v>699.26176281764754</v>
      </c>
      <c r="F40" s="143">
        <f t="shared" si="17"/>
        <v>669.71953490423857</v>
      </c>
      <c r="G40" s="143">
        <f t="shared" si="17"/>
        <v>622.37025147278678</v>
      </c>
      <c r="H40" s="143">
        <f t="shared" si="17"/>
        <v>649.87595639845949</v>
      </c>
      <c r="I40" s="143">
        <f t="shared" si="17"/>
        <v>664.55409541963911</v>
      </c>
      <c r="J40" s="143">
        <f t="shared" si="17"/>
        <v>680.97669216442637</v>
      </c>
      <c r="K40" s="143">
        <f t="shared" si="17"/>
        <v>704.1009222618452</v>
      </c>
      <c r="L40" s="143">
        <f t="shared" si="17"/>
        <v>745.22410814422994</v>
      </c>
      <c r="M40" s="143">
        <f t="shared" si="17"/>
        <v>743.3656011663785</v>
      </c>
      <c r="N40" s="143">
        <f t="shared" si="17"/>
        <v>738.79867233339769</v>
      </c>
      <c r="O40" s="76">
        <f>SUM(C40:N40)</f>
        <v>8400.025094851042</v>
      </c>
      <c r="P40" s="64">
        <f t="shared" ref="P40:P43" si="18">SUM(C40:N40)</f>
        <v>8400.025094851042</v>
      </c>
      <c r="Q40" s="135">
        <v>8400</v>
      </c>
      <c r="R40" s="146"/>
    </row>
    <row r="41" spans="1:18" x14ac:dyDescent="0.3">
      <c r="A41" s="175">
        <v>5440</v>
      </c>
      <c r="B41" s="126" t="s">
        <v>86</v>
      </c>
      <c r="C41" s="143">
        <f t="shared" ref="C41:C43" si="19">(C$8/$Q$8)*$Q41</f>
        <v>188.45734307752193</v>
      </c>
      <c r="D41" s="143">
        <f t="shared" si="17"/>
        <v>181.98703136447631</v>
      </c>
      <c r="E41" s="143">
        <f t="shared" si="17"/>
        <v>174.81544070441188</v>
      </c>
      <c r="F41" s="143">
        <f t="shared" si="17"/>
        <v>167.42988372605964</v>
      </c>
      <c r="G41" s="143">
        <f t="shared" si="17"/>
        <v>155.59256286819669</v>
      </c>
      <c r="H41" s="143">
        <f t="shared" si="17"/>
        <v>162.46898909961487</v>
      </c>
      <c r="I41" s="143">
        <f t="shared" si="17"/>
        <v>166.13852385490978</v>
      </c>
      <c r="J41" s="143">
        <f t="shared" si="17"/>
        <v>170.24417304110659</v>
      </c>
      <c r="K41" s="143">
        <f t="shared" si="17"/>
        <v>176.0252305654613</v>
      </c>
      <c r="L41" s="143">
        <f t="shared" si="17"/>
        <v>186.30602703605749</v>
      </c>
      <c r="M41" s="143">
        <f t="shared" si="17"/>
        <v>185.84140029159462</v>
      </c>
      <c r="N41" s="143">
        <f t="shared" si="17"/>
        <v>184.69966808334942</v>
      </c>
      <c r="O41" s="76">
        <f>SUM(C41:N41)</f>
        <v>2100.0062737127605</v>
      </c>
      <c r="P41" s="64">
        <f t="shared" si="18"/>
        <v>2100.0062737127605</v>
      </c>
      <c r="Q41" s="135">
        <v>2100</v>
      </c>
      <c r="R41" s="146"/>
    </row>
    <row r="42" spans="1:18" x14ac:dyDescent="0.3">
      <c r="A42" s="175">
        <v>5450</v>
      </c>
      <c r="B42" s="126" t="s">
        <v>87</v>
      </c>
      <c r="C42" s="143">
        <f t="shared" si="19"/>
        <v>192.94442267460579</v>
      </c>
      <c r="D42" s="143">
        <f t="shared" si="17"/>
        <v>186.32005592077337</v>
      </c>
      <c r="E42" s="143">
        <f t="shared" si="17"/>
        <v>178.97771310213599</v>
      </c>
      <c r="F42" s="143">
        <f t="shared" si="17"/>
        <v>171.41630952906107</v>
      </c>
      <c r="G42" s="143">
        <f t="shared" si="17"/>
        <v>159.29714769839185</v>
      </c>
      <c r="H42" s="143">
        <f t="shared" si="17"/>
        <v>166.33729836389142</v>
      </c>
      <c r="I42" s="143">
        <f t="shared" si="17"/>
        <v>170.09420299431241</v>
      </c>
      <c r="J42" s="143">
        <f t="shared" si="17"/>
        <v>174.29760573256152</v>
      </c>
      <c r="K42" s="143">
        <f t="shared" si="17"/>
        <v>180.21630748368659</v>
      </c>
      <c r="L42" s="143">
        <f t="shared" si="17"/>
        <v>190.74188482263028</v>
      </c>
      <c r="M42" s="143">
        <f t="shared" si="17"/>
        <v>190.26619553663258</v>
      </c>
      <c r="N42" s="143">
        <f t="shared" si="17"/>
        <v>189.0972792281911</v>
      </c>
      <c r="O42" s="76"/>
      <c r="P42" s="64">
        <f t="shared" si="18"/>
        <v>2150.0064230868738</v>
      </c>
      <c r="Q42" s="135">
        <v>2150</v>
      </c>
      <c r="R42" s="146"/>
    </row>
    <row r="43" spans="1:18" x14ac:dyDescent="0.3">
      <c r="A43" s="175">
        <v>5460</v>
      </c>
      <c r="B43" s="126" t="s">
        <v>122</v>
      </c>
      <c r="C43" s="143">
        <f t="shared" si="19"/>
        <v>1088.5655102525434</v>
      </c>
      <c r="D43" s="143">
        <f t="shared" si="17"/>
        <v>1051.1917573576654</v>
      </c>
      <c r="E43" s="143">
        <f t="shared" si="17"/>
        <v>1009.7672836878648</v>
      </c>
      <c r="F43" s="143">
        <f t="shared" si="17"/>
        <v>967.10689980814448</v>
      </c>
      <c r="G43" s="143">
        <f t="shared" si="17"/>
        <v>898.73227980534568</v>
      </c>
      <c r="H43" s="143">
        <f t="shared" si="17"/>
        <v>938.45182751348977</v>
      </c>
      <c r="I43" s="143">
        <f t="shared" si="17"/>
        <v>959.64775921907415</v>
      </c>
      <c r="J43" s="143">
        <f t="shared" si="17"/>
        <v>983.36277094696334</v>
      </c>
      <c r="K43" s="143">
        <f t="shared" si="17"/>
        <v>1016.7552603614503</v>
      </c>
      <c r="L43" s="143">
        <f t="shared" si="17"/>
        <v>1076.1390990225607</v>
      </c>
      <c r="M43" s="143">
        <f t="shared" si="17"/>
        <v>1073.4553264462108</v>
      </c>
      <c r="N43" s="143">
        <f t="shared" si="17"/>
        <v>1066.8604637385849</v>
      </c>
      <c r="O43" s="76"/>
      <c r="P43" s="64">
        <f t="shared" si="18"/>
        <v>12130.036238159897</v>
      </c>
      <c r="Q43" s="135">
        <v>12130</v>
      </c>
      <c r="R43" s="146"/>
    </row>
    <row r="44" spans="1:18" x14ac:dyDescent="0.3">
      <c r="A44" s="175"/>
      <c r="B44" s="131" t="s">
        <v>123</v>
      </c>
      <c r="C44" s="69">
        <f t="shared" ref="C44:O44" si="20">SUM(C38:C43)</f>
        <v>7515.8591403433047</v>
      </c>
      <c r="D44" s="69">
        <f t="shared" si="20"/>
        <v>7439.5094621293665</v>
      </c>
      <c r="E44" s="69">
        <f t="shared" si="20"/>
        <v>6952.0411207473671</v>
      </c>
      <c r="F44" s="69">
        <f t="shared" si="20"/>
        <v>6864.8915484028112</v>
      </c>
      <c r="G44" s="69">
        <f t="shared" si="20"/>
        <v>6379.7286985277442</v>
      </c>
      <c r="H44" s="69">
        <f t="shared" si="20"/>
        <v>6460.8705280584782</v>
      </c>
      <c r="I44" s="69">
        <f t="shared" si="20"/>
        <v>6765.9016800024565</v>
      </c>
      <c r="J44" s="69">
        <f t="shared" si="20"/>
        <v>6814.3483403995779</v>
      </c>
      <c r="K44" s="69">
        <f t="shared" si="20"/>
        <v>7253.2585435512829</v>
      </c>
      <c r="L44" s="69">
        <f t="shared" si="20"/>
        <v>7374.5719419043189</v>
      </c>
      <c r="M44" s="69">
        <f t="shared" si="20"/>
        <v>7486.3723573685893</v>
      </c>
      <c r="N44" s="69">
        <f t="shared" si="20"/>
        <v>7472.8999173112952</v>
      </c>
      <c r="O44" s="69">
        <f t="shared" si="20"/>
        <v>40500.031368563803</v>
      </c>
      <c r="P44" s="69">
        <f>SUM(P38:P43)</f>
        <v>84780.25327874659</v>
      </c>
      <c r="Q44" s="136">
        <v>180957</v>
      </c>
      <c r="R44" s="146"/>
    </row>
    <row r="45" spans="1:18" x14ac:dyDescent="0.3">
      <c r="A45" s="175"/>
      <c r="B45" s="82" t="s">
        <v>69</v>
      </c>
      <c r="C45" s="83">
        <f t="shared" ref="C45:P45" si="21">SUM(C8-C44)</f>
        <v>7686.4108596566957</v>
      </c>
      <c r="D45" s="83">
        <f t="shared" si="21"/>
        <v>7240.8205378706334</v>
      </c>
      <c r="E45" s="83">
        <f t="shared" si="21"/>
        <v>7149.7788792526326</v>
      </c>
      <c r="F45" s="83">
        <f t="shared" si="21"/>
        <v>6641.1584515971881</v>
      </c>
      <c r="G45" s="83">
        <f t="shared" si="21"/>
        <v>6171.4413014722559</v>
      </c>
      <c r="H45" s="83">
        <f t="shared" si="21"/>
        <v>6644.9994719415226</v>
      </c>
      <c r="I45" s="83">
        <f t="shared" si="21"/>
        <v>6635.9783199975427</v>
      </c>
      <c r="J45" s="83">
        <f t="shared" si="21"/>
        <v>6918.7216596004218</v>
      </c>
      <c r="K45" s="83">
        <f t="shared" si="21"/>
        <v>6946.151456448717</v>
      </c>
      <c r="L45" s="83">
        <f t="shared" si="21"/>
        <v>7654.1580580956806</v>
      </c>
      <c r="M45" s="83">
        <f t="shared" si="21"/>
        <v>7504.8776426314107</v>
      </c>
      <c r="N45" s="83">
        <f t="shared" si="21"/>
        <v>7426.2500826887044</v>
      </c>
      <c r="O45" s="83">
        <f t="shared" si="21"/>
        <v>-40500.031368563803</v>
      </c>
      <c r="P45" s="83">
        <f t="shared" si="21"/>
        <v>84620.74672125341</v>
      </c>
      <c r="Q45" s="138">
        <v>364042</v>
      </c>
      <c r="R45" s="146"/>
    </row>
    <row r="46" spans="1:18" x14ac:dyDescent="0.3">
      <c r="A46" s="175"/>
      <c r="B46" s="84" t="s">
        <v>70</v>
      </c>
      <c r="C46" s="85">
        <f t="shared" ref="C46:O46" si="22">SUM(C8-C44)/C8</f>
        <v>0.50560941620275757</v>
      </c>
      <c r="D46" s="85">
        <f t="shared" si="22"/>
        <v>0.49323281819077863</v>
      </c>
      <c r="E46" s="85">
        <f t="shared" si="22"/>
        <v>0.50701107227667297</v>
      </c>
      <c r="F46" s="85">
        <f t="shared" si="22"/>
        <v>0.49171730088346988</v>
      </c>
      <c r="G46" s="85">
        <f t="shared" si="22"/>
        <v>0.49170247088297392</v>
      </c>
      <c r="H46" s="85">
        <f t="shared" si="22"/>
        <v>0.50702467458791534</v>
      </c>
      <c r="I46" s="85">
        <f t="shared" si="22"/>
        <v>0.49515279348849139</v>
      </c>
      <c r="J46" s="85">
        <f t="shared" si="22"/>
        <v>0.5038000723509326</v>
      </c>
      <c r="K46" s="85">
        <f t="shared" si="22"/>
        <v>0.48918592085507195</v>
      </c>
      <c r="L46" s="85">
        <f t="shared" si="22"/>
        <v>0.50930172130949725</v>
      </c>
      <c r="M46" s="85">
        <f t="shared" si="22"/>
        <v>0.50061720287710565</v>
      </c>
      <c r="N46" s="85">
        <f t="shared" si="22"/>
        <v>0.4984344799997788</v>
      </c>
      <c r="O46" s="85" t="e">
        <f t="shared" si="22"/>
        <v>#DIV/0!</v>
      </c>
      <c r="P46" s="85">
        <f>SUM(P8-P44)/P8</f>
        <v>0.49952920420336011</v>
      </c>
      <c r="Q46" s="124">
        <v>0.40179652447142694</v>
      </c>
      <c r="R46" s="146"/>
    </row>
    <row r="47" spans="1:18" x14ac:dyDescent="0.3">
      <c r="A47" s="175"/>
      <c r="B47" s="47"/>
      <c r="C47" s="24"/>
      <c r="D47" s="24"/>
      <c r="E47" s="24"/>
      <c r="F47" s="24"/>
      <c r="G47" s="24"/>
      <c r="H47" s="24"/>
      <c r="I47" s="24"/>
      <c r="J47" s="24"/>
      <c r="K47" s="24"/>
      <c r="L47" s="24"/>
      <c r="M47" s="24"/>
      <c r="N47" s="24"/>
      <c r="O47" s="24"/>
      <c r="P47" s="24"/>
      <c r="Q47" s="24"/>
      <c r="R47" s="146"/>
    </row>
    <row r="48" spans="1:18" x14ac:dyDescent="0.3">
      <c r="A48" s="175"/>
      <c r="B48" s="127" t="s">
        <v>124</v>
      </c>
      <c r="C48" s="164">
        <f>SUM(C18,C25,C33,C44)</f>
        <v>86599.792823759621</v>
      </c>
      <c r="D48" s="164">
        <f t="shared" ref="D48:O48" si="23">SUM(D18,D25,D33,D44)</f>
        <v>77374.295967738042</v>
      </c>
      <c r="E48" s="164">
        <f t="shared" si="23"/>
        <v>66414.480064911797</v>
      </c>
      <c r="F48" s="164">
        <f t="shared" si="23"/>
        <v>61009.14535439769</v>
      </c>
      <c r="G48" s="164">
        <f t="shared" si="23"/>
        <v>48506.171298893525</v>
      </c>
      <c r="H48" s="164">
        <f t="shared" si="23"/>
        <v>54704.080299306203</v>
      </c>
      <c r="I48" s="164">
        <f t="shared" si="23"/>
        <v>54649.623154152432</v>
      </c>
      <c r="J48" s="164">
        <f t="shared" si="23"/>
        <v>60663.187890680201</v>
      </c>
      <c r="K48" s="164">
        <f t="shared" si="23"/>
        <v>64387.220822032512</v>
      </c>
      <c r="L48" s="164">
        <f t="shared" si="23"/>
        <v>89082.66376346779</v>
      </c>
      <c r="M48" s="164">
        <f t="shared" si="23"/>
        <v>87312.455331817357</v>
      </c>
      <c r="N48" s="164">
        <f t="shared" si="23"/>
        <v>79794.244942389807</v>
      </c>
      <c r="O48" s="164">
        <f t="shared" si="23"/>
        <v>812470.03136856377</v>
      </c>
      <c r="P48" s="164">
        <f>SUM(P18,P25,P33,P44)</f>
        <v>830497.36171354703</v>
      </c>
      <c r="Q48" s="140">
        <v>845958</v>
      </c>
      <c r="R48" s="149"/>
    </row>
    <row r="49" spans="1:18" x14ac:dyDescent="0.3">
      <c r="A49" s="175"/>
      <c r="B49" s="132" t="s">
        <v>125</v>
      </c>
      <c r="C49" s="165">
        <f t="shared" ref="C49:P49" si="24">SUM(C9-C48)</f>
        <v>38338.477176240383</v>
      </c>
      <c r="D49" s="165">
        <f t="shared" si="24"/>
        <v>35518.03403226196</v>
      </c>
      <c r="E49" s="165">
        <f t="shared" si="24"/>
        <v>32483.33993508821</v>
      </c>
      <c r="F49" s="165">
        <f t="shared" si="24"/>
        <v>26886.904645602313</v>
      </c>
      <c r="G49" s="165">
        <f t="shared" si="24"/>
        <v>22438.998701106473</v>
      </c>
      <c r="H49" s="165">
        <f t="shared" si="24"/>
        <v>25997.789700693793</v>
      </c>
      <c r="I49" s="165">
        <f t="shared" si="24"/>
        <v>24456.256845847573</v>
      </c>
      <c r="J49" s="165">
        <f t="shared" si="24"/>
        <v>29265.882109319806</v>
      </c>
      <c r="K49" s="165">
        <f t="shared" si="24"/>
        <v>29190.189177967492</v>
      </c>
      <c r="L49" s="165">
        <f t="shared" si="24"/>
        <v>42218.066236532221</v>
      </c>
      <c r="M49" s="165">
        <f t="shared" si="24"/>
        <v>37414.794668182643</v>
      </c>
      <c r="N49" s="165">
        <f t="shared" si="24"/>
        <v>35294.045057610201</v>
      </c>
      <c r="O49" s="165">
        <f t="shared" si="24"/>
        <v>-812470.03136856377</v>
      </c>
      <c r="P49" s="165">
        <f t="shared" si="24"/>
        <v>379502.7782864531</v>
      </c>
      <c r="Q49" s="144">
        <v>364042</v>
      </c>
      <c r="R49" s="149"/>
    </row>
    <row r="50" spans="1:18" x14ac:dyDescent="0.3">
      <c r="A50" s="175"/>
      <c r="B50" s="130" t="s">
        <v>126</v>
      </c>
      <c r="C50" s="133">
        <f t="shared" ref="C50:Q50" si="25">C49/C9</f>
        <v>0.30685935683470228</v>
      </c>
      <c r="D50" s="133">
        <f t="shared" si="25"/>
        <v>0.31461866392749588</v>
      </c>
      <c r="E50" s="133">
        <f t="shared" si="25"/>
        <v>0.32845354867365334</v>
      </c>
      <c r="F50" s="133">
        <f t="shared" si="25"/>
        <v>0.30589434503145835</v>
      </c>
      <c r="G50" s="133">
        <f t="shared" si="25"/>
        <v>0.31628648858134351</v>
      </c>
      <c r="H50" s="133">
        <f t="shared" si="25"/>
        <v>0.32214606304282412</v>
      </c>
      <c r="I50" s="133">
        <f t="shared" si="25"/>
        <v>0.30915852078059902</v>
      </c>
      <c r="J50" s="133">
        <f t="shared" si="25"/>
        <v>0.32543294520136595</v>
      </c>
      <c r="K50" s="133">
        <f t="shared" si="25"/>
        <v>0.31193628011255592</v>
      </c>
      <c r="L50" s="133">
        <f t="shared" si="25"/>
        <v>0.32153717832743367</v>
      </c>
      <c r="M50" s="133">
        <f t="shared" si="25"/>
        <v>0.29997289820935397</v>
      </c>
      <c r="N50" s="133">
        <f t="shared" si="25"/>
        <v>0.30666929761151374</v>
      </c>
      <c r="O50" s="133" t="e">
        <f t="shared" si="25"/>
        <v>#DIV/0!</v>
      </c>
      <c r="P50" s="133">
        <f t="shared" si="25"/>
        <v>0.31363862345210397</v>
      </c>
      <c r="Q50" s="133">
        <f t="shared" si="25"/>
        <v>0.30086115702479338</v>
      </c>
      <c r="R50" s="149"/>
    </row>
    <row r="51" spans="1:18" x14ac:dyDescent="0.3">
      <c r="A51" s="175"/>
      <c r="B51" s="47"/>
      <c r="C51" s="23"/>
      <c r="D51" s="23"/>
      <c r="E51" s="23"/>
      <c r="F51" s="23"/>
      <c r="G51" s="23"/>
      <c r="H51" s="23"/>
      <c r="I51" s="23"/>
      <c r="J51" s="23"/>
      <c r="K51" s="23"/>
      <c r="L51" s="23"/>
      <c r="M51" s="23"/>
      <c r="N51" s="23"/>
      <c r="O51" s="23"/>
      <c r="P51" s="24"/>
      <c r="Q51" s="24"/>
      <c r="R51" s="146"/>
    </row>
    <row r="52" spans="1:18" x14ac:dyDescent="0.3">
      <c r="A52" s="176"/>
      <c r="B52" s="65" t="s">
        <v>71</v>
      </c>
      <c r="C52" s="9"/>
      <c r="D52" s="5"/>
      <c r="E52" s="5"/>
      <c r="F52" s="5"/>
      <c r="G52" s="5"/>
      <c r="H52" s="6"/>
      <c r="I52" s="6"/>
      <c r="J52" s="6"/>
      <c r="K52" s="6"/>
      <c r="L52" s="6"/>
      <c r="M52" s="6"/>
      <c r="N52" s="6"/>
      <c r="O52" s="6"/>
      <c r="P52" s="8"/>
      <c r="Q52" s="8"/>
      <c r="R52" s="146"/>
    </row>
    <row r="53" spans="1:18" x14ac:dyDescent="0.3">
      <c r="A53" s="176">
        <v>6110</v>
      </c>
      <c r="B53" s="86" t="s">
        <v>72</v>
      </c>
      <c r="C53" s="87">
        <v>3667</v>
      </c>
      <c r="D53" s="88">
        <v>3667</v>
      </c>
      <c r="E53" s="88">
        <v>3667</v>
      </c>
      <c r="F53" s="88">
        <v>3667</v>
      </c>
      <c r="G53" s="88">
        <v>3667</v>
      </c>
      <c r="H53" s="88">
        <v>3667</v>
      </c>
      <c r="I53" s="88">
        <v>3667</v>
      </c>
      <c r="J53" s="88">
        <v>3667</v>
      </c>
      <c r="K53" s="88">
        <v>3667</v>
      </c>
      <c r="L53" s="88">
        <v>3667</v>
      </c>
      <c r="M53" s="88">
        <v>3667</v>
      </c>
      <c r="N53" s="88">
        <v>3667</v>
      </c>
      <c r="O53" s="76">
        <f t="shared" ref="O53:O70" si="26">SUM(C53:N53)</f>
        <v>44004</v>
      </c>
      <c r="P53" s="64">
        <f>SUM(C53:N53)</f>
        <v>44004</v>
      </c>
      <c r="Q53" s="135">
        <v>44004</v>
      </c>
      <c r="R53" s="149"/>
    </row>
    <row r="54" spans="1:18" x14ac:dyDescent="0.3">
      <c r="A54" s="178">
        <v>6120</v>
      </c>
      <c r="B54" s="90" t="s">
        <v>73</v>
      </c>
      <c r="C54" s="77">
        <v>910</v>
      </c>
      <c r="D54" s="77">
        <v>280</v>
      </c>
      <c r="E54" s="77">
        <v>560</v>
      </c>
      <c r="F54" s="77">
        <v>350</v>
      </c>
      <c r="G54" s="77">
        <v>280</v>
      </c>
      <c r="H54" s="77">
        <v>350</v>
      </c>
      <c r="I54" s="77">
        <v>490</v>
      </c>
      <c r="J54" s="77">
        <v>700</v>
      </c>
      <c r="K54" s="77">
        <v>420</v>
      </c>
      <c r="L54" s="77">
        <v>1190</v>
      </c>
      <c r="M54" s="77">
        <v>1120</v>
      </c>
      <c r="N54" s="77">
        <v>350</v>
      </c>
      <c r="O54" s="76">
        <f t="shared" si="26"/>
        <v>7000</v>
      </c>
      <c r="P54" s="64">
        <f t="shared" ref="P54:P70" si="27">SUM(C54:N54)</f>
        <v>7000</v>
      </c>
      <c r="Q54" s="135">
        <v>7000</v>
      </c>
      <c r="R54" s="149"/>
    </row>
    <row r="55" spans="1:18" x14ac:dyDescent="0.3">
      <c r="A55" s="176">
        <v>6130</v>
      </c>
      <c r="B55" s="91" t="s">
        <v>74</v>
      </c>
      <c r="C55" s="88">
        <v>120</v>
      </c>
      <c r="D55" s="88">
        <v>160</v>
      </c>
      <c r="E55" s="88">
        <v>230</v>
      </c>
      <c r="F55" s="88">
        <v>270</v>
      </c>
      <c r="G55" s="88">
        <v>290</v>
      </c>
      <c r="H55" s="88">
        <v>350</v>
      </c>
      <c r="I55" s="88">
        <v>470</v>
      </c>
      <c r="J55" s="88">
        <v>750</v>
      </c>
      <c r="K55" s="88">
        <v>1100</v>
      </c>
      <c r="L55" s="88">
        <v>3100</v>
      </c>
      <c r="M55" s="88">
        <v>2130</v>
      </c>
      <c r="N55" s="88">
        <v>2030</v>
      </c>
      <c r="O55" s="76">
        <f t="shared" si="26"/>
        <v>11000</v>
      </c>
      <c r="P55" s="64">
        <f t="shared" si="27"/>
        <v>11000</v>
      </c>
      <c r="Q55" s="135">
        <v>11000</v>
      </c>
      <c r="R55" s="149"/>
    </row>
    <row r="56" spans="1:18" x14ac:dyDescent="0.3">
      <c r="A56" s="178">
        <v>6140</v>
      </c>
      <c r="B56" s="91" t="s">
        <v>75</v>
      </c>
      <c r="C56" s="88">
        <v>1083</v>
      </c>
      <c r="D56" s="88">
        <v>1083</v>
      </c>
      <c r="E56" s="88">
        <v>1083</v>
      </c>
      <c r="F56" s="88">
        <v>1083</v>
      </c>
      <c r="G56" s="88">
        <v>1083</v>
      </c>
      <c r="H56" s="88">
        <v>1083</v>
      </c>
      <c r="I56" s="88">
        <v>1083</v>
      </c>
      <c r="J56" s="88">
        <v>1083</v>
      </c>
      <c r="K56" s="88">
        <v>1083</v>
      </c>
      <c r="L56" s="88">
        <v>1083</v>
      </c>
      <c r="M56" s="88">
        <v>1083</v>
      </c>
      <c r="N56" s="88">
        <v>1087</v>
      </c>
      <c r="O56" s="76">
        <f t="shared" si="26"/>
        <v>13000</v>
      </c>
      <c r="P56" s="64">
        <f t="shared" si="27"/>
        <v>13000</v>
      </c>
      <c r="Q56" s="135">
        <v>13000</v>
      </c>
      <c r="R56" s="149"/>
    </row>
    <row r="57" spans="1:18" x14ac:dyDescent="0.3">
      <c r="A57" s="176">
        <v>6150</v>
      </c>
      <c r="B57" s="91" t="s">
        <v>76</v>
      </c>
      <c r="C57" s="88">
        <v>1250</v>
      </c>
      <c r="D57" s="88">
        <v>1150</v>
      </c>
      <c r="E57" s="88">
        <v>1150</v>
      </c>
      <c r="F57" s="88">
        <v>850</v>
      </c>
      <c r="G57" s="88">
        <v>700</v>
      </c>
      <c r="H57" s="88">
        <v>1050</v>
      </c>
      <c r="I57" s="88">
        <v>1300</v>
      </c>
      <c r="J57" s="88">
        <v>1350</v>
      </c>
      <c r="K57" s="88">
        <v>1000</v>
      </c>
      <c r="L57" s="88">
        <v>900</v>
      </c>
      <c r="M57" s="88">
        <v>1100</v>
      </c>
      <c r="N57" s="88">
        <v>1200</v>
      </c>
      <c r="O57" s="76">
        <f t="shared" si="26"/>
        <v>13000</v>
      </c>
      <c r="P57" s="64">
        <f t="shared" si="27"/>
        <v>13000</v>
      </c>
      <c r="Q57" s="135">
        <v>13000</v>
      </c>
      <c r="R57" s="149"/>
    </row>
    <row r="58" spans="1:18" x14ac:dyDescent="0.3">
      <c r="A58" s="178">
        <v>6160</v>
      </c>
      <c r="B58" s="91" t="s">
        <v>77</v>
      </c>
      <c r="C58" s="88">
        <v>1200</v>
      </c>
      <c r="D58" s="88">
        <v>800</v>
      </c>
      <c r="E58" s="88">
        <v>900</v>
      </c>
      <c r="F58" s="88">
        <v>1100</v>
      </c>
      <c r="G58" s="88">
        <v>500</v>
      </c>
      <c r="H58" s="88">
        <v>1500</v>
      </c>
      <c r="I58" s="88">
        <v>1000</v>
      </c>
      <c r="J58" s="88">
        <v>1000</v>
      </c>
      <c r="K58" s="88">
        <v>700</v>
      </c>
      <c r="L58" s="88">
        <v>1300</v>
      </c>
      <c r="M58" s="88">
        <v>1100</v>
      </c>
      <c r="N58" s="88">
        <v>900</v>
      </c>
      <c r="O58" s="76">
        <f t="shared" si="26"/>
        <v>12000</v>
      </c>
      <c r="P58" s="64">
        <f t="shared" si="27"/>
        <v>12000</v>
      </c>
      <c r="Q58" s="135">
        <v>12000</v>
      </c>
      <c r="R58" s="149"/>
    </row>
    <row r="59" spans="1:18" x14ac:dyDescent="0.3">
      <c r="A59" s="176">
        <v>6170</v>
      </c>
      <c r="B59" s="75" t="s">
        <v>78</v>
      </c>
      <c r="C59" s="77">
        <v>2470</v>
      </c>
      <c r="D59" s="77">
        <v>760</v>
      </c>
      <c r="E59" s="77">
        <v>1520</v>
      </c>
      <c r="F59" s="77">
        <v>950</v>
      </c>
      <c r="G59" s="77">
        <v>760</v>
      </c>
      <c r="H59" s="77">
        <v>950</v>
      </c>
      <c r="I59" s="77">
        <v>1330</v>
      </c>
      <c r="J59" s="77">
        <v>1900</v>
      </c>
      <c r="K59" s="77">
        <v>1140</v>
      </c>
      <c r="L59" s="77">
        <v>3230</v>
      </c>
      <c r="M59" s="77">
        <v>3040</v>
      </c>
      <c r="N59" s="77">
        <v>950</v>
      </c>
      <c r="O59" s="76">
        <f t="shared" si="26"/>
        <v>19000</v>
      </c>
      <c r="P59" s="64">
        <f t="shared" si="27"/>
        <v>19000</v>
      </c>
      <c r="Q59" s="135">
        <v>19000</v>
      </c>
      <c r="R59" s="149"/>
    </row>
    <row r="60" spans="1:18" x14ac:dyDescent="0.3">
      <c r="A60" s="178">
        <v>6180</v>
      </c>
      <c r="B60" s="91" t="s">
        <v>79</v>
      </c>
      <c r="C60" s="88">
        <v>250</v>
      </c>
      <c r="D60" s="88">
        <v>250</v>
      </c>
      <c r="E60" s="88">
        <v>250</v>
      </c>
      <c r="F60" s="88">
        <v>250</v>
      </c>
      <c r="G60" s="88">
        <v>250</v>
      </c>
      <c r="H60" s="88">
        <v>250</v>
      </c>
      <c r="I60" s="88">
        <v>250</v>
      </c>
      <c r="J60" s="88">
        <v>250</v>
      </c>
      <c r="K60" s="88">
        <v>250</v>
      </c>
      <c r="L60" s="88">
        <v>250</v>
      </c>
      <c r="M60" s="88">
        <v>250</v>
      </c>
      <c r="N60" s="88">
        <v>250</v>
      </c>
      <c r="O60" s="76">
        <f t="shared" si="26"/>
        <v>3000</v>
      </c>
      <c r="P60" s="64">
        <f t="shared" si="27"/>
        <v>3000</v>
      </c>
      <c r="Q60" s="135">
        <v>3000</v>
      </c>
      <c r="R60" s="149"/>
    </row>
    <row r="61" spans="1:18" x14ac:dyDescent="0.3">
      <c r="A61" s="176">
        <v>6190</v>
      </c>
      <c r="B61" s="91" t="s">
        <v>80</v>
      </c>
      <c r="C61" s="88">
        <v>250</v>
      </c>
      <c r="D61" s="88">
        <v>250</v>
      </c>
      <c r="E61" s="88">
        <v>250</v>
      </c>
      <c r="F61" s="88">
        <v>250</v>
      </c>
      <c r="G61" s="88">
        <v>250</v>
      </c>
      <c r="H61" s="88">
        <v>250</v>
      </c>
      <c r="I61" s="88">
        <v>250</v>
      </c>
      <c r="J61" s="88">
        <v>250</v>
      </c>
      <c r="K61" s="88">
        <v>250</v>
      </c>
      <c r="L61" s="88">
        <v>250</v>
      </c>
      <c r="M61" s="88">
        <v>250</v>
      </c>
      <c r="N61" s="88">
        <v>250</v>
      </c>
      <c r="O61" s="76">
        <f t="shared" si="26"/>
        <v>3000</v>
      </c>
      <c r="P61" s="64">
        <f t="shared" si="27"/>
        <v>3000</v>
      </c>
      <c r="Q61" s="135">
        <v>3000</v>
      </c>
      <c r="R61" s="149"/>
    </row>
    <row r="62" spans="1:18" x14ac:dyDescent="0.3">
      <c r="A62" s="178">
        <v>6200</v>
      </c>
      <c r="B62" s="93" t="s">
        <v>83</v>
      </c>
      <c r="C62" s="88">
        <v>4166.666666666667</v>
      </c>
      <c r="D62" s="88">
        <v>4166.666666666667</v>
      </c>
      <c r="E62" s="88">
        <v>4166.666666666667</v>
      </c>
      <c r="F62" s="88">
        <v>4166.666666666667</v>
      </c>
      <c r="G62" s="88">
        <v>4166.666666666667</v>
      </c>
      <c r="H62" s="88">
        <v>4166.666666666667</v>
      </c>
      <c r="I62" s="88">
        <v>4166.666666666667</v>
      </c>
      <c r="J62" s="88">
        <v>4166.666666666667</v>
      </c>
      <c r="K62" s="88">
        <v>4166.666666666667</v>
      </c>
      <c r="L62" s="88">
        <v>4166.666666666667</v>
      </c>
      <c r="M62" s="88">
        <v>4166.666666666667</v>
      </c>
      <c r="N62" s="88">
        <v>4166.666666666667</v>
      </c>
      <c r="O62" s="76">
        <f t="shared" si="26"/>
        <v>49999.999999999993</v>
      </c>
      <c r="P62" s="64">
        <f t="shared" si="27"/>
        <v>49999.999999999993</v>
      </c>
      <c r="Q62" s="135">
        <v>49999.999999999993</v>
      </c>
      <c r="R62" s="149"/>
    </row>
    <row r="63" spans="1:18" x14ac:dyDescent="0.3">
      <c r="A63" s="176">
        <v>6210</v>
      </c>
      <c r="B63" s="91" t="s">
        <v>84</v>
      </c>
      <c r="C63" s="88">
        <f t="shared" ref="C63:N63" si="28">SUM((C62+C39+C16+C30)*0.1049)</f>
        <v>1683.5981519884429</v>
      </c>
      <c r="D63" s="88">
        <f t="shared" si="28"/>
        <v>1632.3372245385917</v>
      </c>
      <c r="E63" s="88">
        <f t="shared" si="28"/>
        <v>1447.4794575846822</v>
      </c>
      <c r="F63" s="88">
        <f t="shared" si="28"/>
        <v>1383.8567469045513</v>
      </c>
      <c r="G63" s="88">
        <f t="shared" si="28"/>
        <v>1200.0386874952258</v>
      </c>
      <c r="H63" s="88">
        <f t="shared" si="28"/>
        <v>1293.8301012991162</v>
      </c>
      <c r="I63" s="88">
        <f t="shared" si="28"/>
        <v>1282.1636925077585</v>
      </c>
      <c r="J63" s="88">
        <f t="shared" si="28"/>
        <v>1435.9155005148393</v>
      </c>
      <c r="K63" s="88">
        <f t="shared" si="28"/>
        <v>1368.6034939519518</v>
      </c>
      <c r="L63" s="88">
        <f t="shared" si="28"/>
        <v>1666.2578485623956</v>
      </c>
      <c r="M63" s="88">
        <f t="shared" si="28"/>
        <v>1816.047974870675</v>
      </c>
      <c r="N63" s="88">
        <f t="shared" si="28"/>
        <v>1622.8507705101561</v>
      </c>
      <c r="O63" s="88">
        <f t="shared" ref="O63" si="29">SUM(O62*0.1059)</f>
        <v>5294.9999999999991</v>
      </c>
      <c r="P63" s="64">
        <f t="shared" si="27"/>
        <v>17832.979650728386</v>
      </c>
      <c r="Q63" s="139">
        <v>5294.9999999999991</v>
      </c>
      <c r="R63" s="149"/>
    </row>
    <row r="64" spans="1:18" x14ac:dyDescent="0.3">
      <c r="A64" s="178">
        <v>6220</v>
      </c>
      <c r="B64" s="91" t="s">
        <v>85</v>
      </c>
      <c r="C64" s="88">
        <f>$P64/12</f>
        <v>1550</v>
      </c>
      <c r="D64" s="88">
        <f t="shared" ref="D64:N64" si="30">$P64/12</f>
        <v>1550</v>
      </c>
      <c r="E64" s="88">
        <f t="shared" si="30"/>
        <v>1550</v>
      </c>
      <c r="F64" s="88">
        <f t="shared" si="30"/>
        <v>1550</v>
      </c>
      <c r="G64" s="88">
        <f t="shared" si="30"/>
        <v>1550</v>
      </c>
      <c r="H64" s="88">
        <f t="shared" si="30"/>
        <v>1550</v>
      </c>
      <c r="I64" s="88">
        <f t="shared" si="30"/>
        <v>1550</v>
      </c>
      <c r="J64" s="88">
        <f t="shared" si="30"/>
        <v>1550</v>
      </c>
      <c r="K64" s="88">
        <f t="shared" si="30"/>
        <v>1550</v>
      </c>
      <c r="L64" s="88">
        <f t="shared" si="30"/>
        <v>1550</v>
      </c>
      <c r="M64" s="88">
        <f t="shared" si="30"/>
        <v>1550</v>
      </c>
      <c r="N64" s="88">
        <f t="shared" si="30"/>
        <v>1550</v>
      </c>
      <c r="O64" s="76">
        <f t="shared" si="26"/>
        <v>18600</v>
      </c>
      <c r="P64" s="64">
        <v>18600</v>
      </c>
      <c r="Q64" s="141">
        <v>15600</v>
      </c>
      <c r="R64" s="149"/>
    </row>
    <row r="65" spans="1:18" x14ac:dyDescent="0.3">
      <c r="A65" s="176">
        <v>6230</v>
      </c>
      <c r="B65" s="75" t="s">
        <v>86</v>
      </c>
      <c r="C65" s="88">
        <v>225</v>
      </c>
      <c r="D65" s="88">
        <v>225</v>
      </c>
      <c r="E65" s="88">
        <v>225</v>
      </c>
      <c r="F65" s="88">
        <v>225</v>
      </c>
      <c r="G65" s="88">
        <v>225</v>
      </c>
      <c r="H65" s="88">
        <v>225</v>
      </c>
      <c r="I65" s="88">
        <v>225</v>
      </c>
      <c r="J65" s="88">
        <v>225</v>
      </c>
      <c r="K65" s="88">
        <v>225</v>
      </c>
      <c r="L65" s="88">
        <v>225</v>
      </c>
      <c r="M65" s="88">
        <v>225</v>
      </c>
      <c r="N65" s="88">
        <v>225</v>
      </c>
      <c r="O65" s="76">
        <f t="shared" si="26"/>
        <v>2700</v>
      </c>
      <c r="P65" s="64">
        <f t="shared" si="27"/>
        <v>2700</v>
      </c>
      <c r="Q65" s="141">
        <v>2700</v>
      </c>
      <c r="R65" s="149"/>
    </row>
    <row r="66" spans="1:18" x14ac:dyDescent="0.3">
      <c r="A66" s="178">
        <v>6240</v>
      </c>
      <c r="B66" s="75" t="s">
        <v>87</v>
      </c>
      <c r="C66" s="159" t="s">
        <v>127</v>
      </c>
      <c r="D66" s="159" t="s">
        <v>127</v>
      </c>
      <c r="E66" s="159">
        <v>1200</v>
      </c>
      <c r="F66" s="159">
        <v>450</v>
      </c>
      <c r="G66" s="159" t="s">
        <v>128</v>
      </c>
      <c r="H66" s="159">
        <v>600</v>
      </c>
      <c r="I66" s="159" t="s">
        <v>128</v>
      </c>
      <c r="J66" s="159" t="s">
        <v>128</v>
      </c>
      <c r="K66" s="159">
        <v>1600</v>
      </c>
      <c r="L66" s="159" t="s">
        <v>128</v>
      </c>
      <c r="M66" s="159">
        <v>0</v>
      </c>
      <c r="N66" s="159" t="s">
        <v>128</v>
      </c>
      <c r="O66" s="76">
        <f t="shared" si="26"/>
        <v>3850</v>
      </c>
      <c r="P66" s="64">
        <f t="shared" si="27"/>
        <v>3850</v>
      </c>
      <c r="Q66" s="141">
        <v>3850</v>
      </c>
      <c r="R66" s="149"/>
    </row>
    <row r="67" spans="1:18" x14ac:dyDescent="0.3">
      <c r="A67" s="176">
        <v>6250</v>
      </c>
      <c r="B67" s="75" t="s">
        <v>88</v>
      </c>
      <c r="C67" s="160">
        <v>910</v>
      </c>
      <c r="D67" s="160">
        <v>180</v>
      </c>
      <c r="E67" s="160">
        <v>360</v>
      </c>
      <c r="F67" s="160">
        <v>150</v>
      </c>
      <c r="G67" s="160">
        <v>250</v>
      </c>
      <c r="H67" s="160">
        <v>250</v>
      </c>
      <c r="I67" s="160">
        <v>220</v>
      </c>
      <c r="J67" s="160">
        <v>325</v>
      </c>
      <c r="K67" s="160">
        <v>130</v>
      </c>
      <c r="L67" s="160">
        <v>900</v>
      </c>
      <c r="M67" s="160">
        <v>1020</v>
      </c>
      <c r="N67" s="160">
        <v>175</v>
      </c>
      <c r="O67" s="76">
        <f t="shared" si="26"/>
        <v>4870</v>
      </c>
      <c r="P67" s="64">
        <f t="shared" si="27"/>
        <v>4870</v>
      </c>
      <c r="Q67" s="141">
        <v>4870</v>
      </c>
      <c r="R67" s="149"/>
    </row>
    <row r="68" spans="1:18" x14ac:dyDescent="0.3">
      <c r="A68" s="178">
        <v>6260</v>
      </c>
      <c r="B68" s="91" t="s">
        <v>89</v>
      </c>
      <c r="C68" s="159">
        <v>1250</v>
      </c>
      <c r="D68" s="159">
        <v>1250</v>
      </c>
      <c r="E68" s="159">
        <v>1250</v>
      </c>
      <c r="F68" s="159">
        <v>1250</v>
      </c>
      <c r="G68" s="159">
        <v>1250</v>
      </c>
      <c r="H68" s="159">
        <v>1250</v>
      </c>
      <c r="I68" s="159">
        <v>1250</v>
      </c>
      <c r="J68" s="159">
        <v>1250</v>
      </c>
      <c r="K68" s="159">
        <v>1250</v>
      </c>
      <c r="L68" s="159">
        <v>1250</v>
      </c>
      <c r="M68" s="159">
        <v>1250</v>
      </c>
      <c r="N68" s="159">
        <v>1250</v>
      </c>
      <c r="O68" s="76">
        <f t="shared" si="26"/>
        <v>15000</v>
      </c>
      <c r="P68" s="64">
        <f t="shared" si="27"/>
        <v>15000</v>
      </c>
      <c r="Q68" s="135">
        <v>15000</v>
      </c>
      <c r="R68" s="149"/>
    </row>
    <row r="69" spans="1:18" x14ac:dyDescent="0.3">
      <c r="A69" s="176">
        <v>6270</v>
      </c>
      <c r="B69" s="91" t="s">
        <v>90</v>
      </c>
      <c r="C69" s="161">
        <v>667</v>
      </c>
      <c r="D69" s="161">
        <v>667</v>
      </c>
      <c r="E69" s="161">
        <v>667</v>
      </c>
      <c r="F69" s="161">
        <v>667</v>
      </c>
      <c r="G69" s="161">
        <v>667</v>
      </c>
      <c r="H69" s="161">
        <v>667</v>
      </c>
      <c r="I69" s="161">
        <v>667</v>
      </c>
      <c r="J69" s="161">
        <v>667</v>
      </c>
      <c r="K69" s="161">
        <v>667</v>
      </c>
      <c r="L69" s="161">
        <v>667</v>
      </c>
      <c r="M69" s="161">
        <v>667</v>
      </c>
      <c r="N69" s="161">
        <v>667</v>
      </c>
      <c r="O69" s="76">
        <f t="shared" si="26"/>
        <v>8004</v>
      </c>
      <c r="P69" s="64">
        <f t="shared" si="27"/>
        <v>8004</v>
      </c>
      <c r="Q69" s="135">
        <v>8004</v>
      </c>
      <c r="R69" s="149"/>
    </row>
    <row r="70" spans="1:18" x14ac:dyDescent="0.3">
      <c r="A70" s="178">
        <v>6280</v>
      </c>
      <c r="B70" s="95" t="s">
        <v>91</v>
      </c>
      <c r="C70" s="162" t="s">
        <v>127</v>
      </c>
      <c r="D70" s="162" t="s">
        <v>128</v>
      </c>
      <c r="E70" s="162">
        <v>1700</v>
      </c>
      <c r="F70" s="162" t="s">
        <v>128</v>
      </c>
      <c r="G70" s="162" t="s">
        <v>128</v>
      </c>
      <c r="H70" s="162">
        <v>2800</v>
      </c>
      <c r="I70" s="162" t="s">
        <v>128</v>
      </c>
      <c r="J70" s="162" t="s">
        <v>128</v>
      </c>
      <c r="K70" s="162">
        <v>2500</v>
      </c>
      <c r="L70" s="162" t="s">
        <v>128</v>
      </c>
      <c r="M70" s="162" t="s">
        <v>128</v>
      </c>
      <c r="N70" s="162" t="s">
        <v>128</v>
      </c>
      <c r="O70" s="97">
        <f t="shared" si="26"/>
        <v>7000</v>
      </c>
      <c r="P70" s="64">
        <f t="shared" si="27"/>
        <v>7000</v>
      </c>
      <c r="Q70" s="135">
        <v>7000</v>
      </c>
      <c r="R70" s="149"/>
    </row>
    <row r="71" spans="1:18" x14ac:dyDescent="0.3">
      <c r="A71" s="178"/>
      <c r="B71" s="98" t="s">
        <v>92</v>
      </c>
      <c r="C71" s="69">
        <f t="shared" ref="C71:P71" si="31">SUM(C53:C70)</f>
        <v>21652.264818655112</v>
      </c>
      <c r="D71" s="69">
        <f t="shared" si="31"/>
        <v>18071.003891205259</v>
      </c>
      <c r="E71" s="69">
        <f t="shared" si="31"/>
        <v>22176.146124251351</v>
      </c>
      <c r="F71" s="69">
        <f t="shared" si="31"/>
        <v>18612.52341357122</v>
      </c>
      <c r="G71" s="69">
        <f t="shared" si="31"/>
        <v>17088.705354161895</v>
      </c>
      <c r="H71" s="69">
        <f t="shared" si="31"/>
        <v>22252.496767965786</v>
      </c>
      <c r="I71" s="69">
        <f t="shared" si="31"/>
        <v>19200.830359174426</v>
      </c>
      <c r="J71" s="69">
        <f t="shared" si="31"/>
        <v>20569.582167181507</v>
      </c>
      <c r="K71" s="69">
        <f t="shared" si="31"/>
        <v>23067.27016061862</v>
      </c>
      <c r="L71" s="69">
        <f t="shared" si="31"/>
        <v>25394.924515229064</v>
      </c>
      <c r="M71" s="69">
        <f t="shared" si="31"/>
        <v>24434.714641537343</v>
      </c>
      <c r="N71" s="69">
        <f t="shared" si="31"/>
        <v>20340.517437176823</v>
      </c>
      <c r="O71" s="69">
        <f t="shared" si="31"/>
        <v>240323</v>
      </c>
      <c r="P71" s="69">
        <f t="shared" si="31"/>
        <v>252860.97965072838</v>
      </c>
      <c r="Q71" s="136">
        <v>237323</v>
      </c>
      <c r="R71" s="149"/>
    </row>
    <row r="72" spans="1:18" x14ac:dyDescent="0.3">
      <c r="A72" s="176"/>
      <c r="B72" s="101" t="s">
        <v>93</v>
      </c>
      <c r="C72" s="102"/>
      <c r="D72" s="102"/>
      <c r="E72" s="102"/>
      <c r="F72" s="102"/>
      <c r="G72" s="102"/>
      <c r="H72" s="102"/>
      <c r="I72" s="102"/>
      <c r="J72" s="102"/>
      <c r="K72" s="102"/>
      <c r="L72" s="102"/>
      <c r="M72" s="102"/>
      <c r="N72" s="102"/>
      <c r="O72" s="102"/>
      <c r="P72" s="103"/>
      <c r="Q72" s="103"/>
      <c r="R72" s="149"/>
    </row>
    <row r="73" spans="1:18" x14ac:dyDescent="0.3">
      <c r="A73" s="176">
        <v>6310</v>
      </c>
      <c r="B73" s="104" t="s">
        <v>94</v>
      </c>
      <c r="C73" s="96">
        <f t="shared" ref="C73:N75" si="32">$P73/12</f>
        <v>1250</v>
      </c>
      <c r="D73" s="96">
        <f t="shared" si="32"/>
        <v>1250</v>
      </c>
      <c r="E73" s="96">
        <f t="shared" si="32"/>
        <v>1250</v>
      </c>
      <c r="F73" s="96">
        <f t="shared" si="32"/>
        <v>1250</v>
      </c>
      <c r="G73" s="96">
        <f t="shared" si="32"/>
        <v>1250</v>
      </c>
      <c r="H73" s="96">
        <f t="shared" si="32"/>
        <v>1250</v>
      </c>
      <c r="I73" s="96">
        <f t="shared" si="32"/>
        <v>1250</v>
      </c>
      <c r="J73" s="96">
        <f t="shared" si="32"/>
        <v>1250</v>
      </c>
      <c r="K73" s="96">
        <f t="shared" si="32"/>
        <v>1250</v>
      </c>
      <c r="L73" s="96">
        <f t="shared" si="32"/>
        <v>1250</v>
      </c>
      <c r="M73" s="96">
        <f t="shared" si="32"/>
        <v>1250</v>
      </c>
      <c r="N73" s="96">
        <f t="shared" si="32"/>
        <v>1250</v>
      </c>
      <c r="O73" s="105">
        <f>SUM(C73:N73)</f>
        <v>15000</v>
      </c>
      <c r="P73" s="64">
        <v>15000</v>
      </c>
      <c r="Q73" s="135">
        <v>15000</v>
      </c>
      <c r="R73" s="149"/>
    </row>
    <row r="74" spans="1:18" x14ac:dyDescent="0.3">
      <c r="A74" s="175">
        <v>6320</v>
      </c>
      <c r="B74" s="104" t="s">
        <v>95</v>
      </c>
      <c r="C74" s="96">
        <f t="shared" si="32"/>
        <v>2500</v>
      </c>
      <c r="D74" s="96">
        <f t="shared" si="32"/>
        <v>2500</v>
      </c>
      <c r="E74" s="96">
        <f t="shared" si="32"/>
        <v>2500</v>
      </c>
      <c r="F74" s="96">
        <f t="shared" si="32"/>
        <v>2500</v>
      </c>
      <c r="G74" s="96">
        <f t="shared" si="32"/>
        <v>2500</v>
      </c>
      <c r="H74" s="96">
        <f t="shared" si="32"/>
        <v>2500</v>
      </c>
      <c r="I74" s="96">
        <f t="shared" si="32"/>
        <v>2500</v>
      </c>
      <c r="J74" s="96">
        <f t="shared" si="32"/>
        <v>2500</v>
      </c>
      <c r="K74" s="96">
        <f t="shared" si="32"/>
        <v>2500</v>
      </c>
      <c r="L74" s="96">
        <f t="shared" si="32"/>
        <v>2500</v>
      </c>
      <c r="M74" s="96">
        <f t="shared" si="32"/>
        <v>2500</v>
      </c>
      <c r="N74" s="96">
        <f t="shared" si="32"/>
        <v>2500</v>
      </c>
      <c r="O74" s="105">
        <f>SUM(C74:N74)</f>
        <v>30000</v>
      </c>
      <c r="P74" s="64">
        <v>30000</v>
      </c>
      <c r="Q74" s="135">
        <v>30000</v>
      </c>
      <c r="R74" s="148"/>
    </row>
    <row r="75" spans="1:18" x14ac:dyDescent="0.3">
      <c r="A75" s="176">
        <v>6330</v>
      </c>
      <c r="B75" s="104" t="s">
        <v>96</v>
      </c>
      <c r="C75" s="96">
        <f t="shared" si="32"/>
        <v>1000</v>
      </c>
      <c r="D75" s="96">
        <f t="shared" si="32"/>
        <v>1000</v>
      </c>
      <c r="E75" s="96">
        <f t="shared" si="32"/>
        <v>1000</v>
      </c>
      <c r="F75" s="96">
        <f t="shared" si="32"/>
        <v>1000</v>
      </c>
      <c r="G75" s="96">
        <f t="shared" si="32"/>
        <v>1000</v>
      </c>
      <c r="H75" s="96">
        <f t="shared" si="32"/>
        <v>1000</v>
      </c>
      <c r="I75" s="96">
        <f t="shared" si="32"/>
        <v>1000</v>
      </c>
      <c r="J75" s="96">
        <f t="shared" si="32"/>
        <v>1000</v>
      </c>
      <c r="K75" s="96">
        <f t="shared" si="32"/>
        <v>1000</v>
      </c>
      <c r="L75" s="96">
        <f t="shared" si="32"/>
        <v>1000</v>
      </c>
      <c r="M75" s="96">
        <f t="shared" si="32"/>
        <v>1000</v>
      </c>
      <c r="N75" s="96">
        <f t="shared" si="32"/>
        <v>1000</v>
      </c>
      <c r="O75" s="105">
        <f>SUM(C75:N75)</f>
        <v>12000</v>
      </c>
      <c r="P75" s="64">
        <v>12000</v>
      </c>
      <c r="Q75" s="135">
        <v>12000</v>
      </c>
      <c r="R75" s="149"/>
    </row>
    <row r="76" spans="1:18" x14ac:dyDescent="0.3">
      <c r="A76" s="176"/>
      <c r="B76" s="106" t="s">
        <v>97</v>
      </c>
      <c r="C76" s="107">
        <f t="shared" ref="C76:P76" si="33">SUM(C73:C75)</f>
        <v>4750</v>
      </c>
      <c r="D76" s="107">
        <f t="shared" si="33"/>
        <v>4750</v>
      </c>
      <c r="E76" s="107">
        <f t="shared" si="33"/>
        <v>4750</v>
      </c>
      <c r="F76" s="107">
        <f t="shared" si="33"/>
        <v>4750</v>
      </c>
      <c r="G76" s="107">
        <f t="shared" si="33"/>
        <v>4750</v>
      </c>
      <c r="H76" s="107">
        <f t="shared" si="33"/>
        <v>4750</v>
      </c>
      <c r="I76" s="107">
        <f t="shared" si="33"/>
        <v>4750</v>
      </c>
      <c r="J76" s="107">
        <f t="shared" si="33"/>
        <v>4750</v>
      </c>
      <c r="K76" s="107">
        <f t="shared" si="33"/>
        <v>4750</v>
      </c>
      <c r="L76" s="107">
        <f t="shared" si="33"/>
        <v>4750</v>
      </c>
      <c r="M76" s="107">
        <f t="shared" si="33"/>
        <v>4750</v>
      </c>
      <c r="N76" s="107">
        <f t="shared" si="33"/>
        <v>4750</v>
      </c>
      <c r="O76" s="107">
        <f t="shared" si="33"/>
        <v>57000</v>
      </c>
      <c r="P76" s="108">
        <f t="shared" si="33"/>
        <v>57000</v>
      </c>
      <c r="Q76" s="68">
        <v>57000</v>
      </c>
      <c r="R76" s="149"/>
    </row>
    <row r="77" spans="1:18" x14ac:dyDescent="0.3">
      <c r="A77" s="176"/>
      <c r="B77" s="106" t="s">
        <v>98</v>
      </c>
      <c r="C77" s="108">
        <f t="shared" ref="C77:P77" si="34">SUM(C71+C76)</f>
        <v>26402.264818655112</v>
      </c>
      <c r="D77" s="108">
        <f t="shared" si="34"/>
        <v>22821.003891205259</v>
      </c>
      <c r="E77" s="108">
        <f t="shared" si="34"/>
        <v>26926.146124251351</v>
      </c>
      <c r="F77" s="108">
        <f t="shared" si="34"/>
        <v>23362.52341357122</v>
      </c>
      <c r="G77" s="108">
        <f t="shared" si="34"/>
        <v>21838.705354161895</v>
      </c>
      <c r="H77" s="108">
        <f t="shared" si="34"/>
        <v>27002.496767965786</v>
      </c>
      <c r="I77" s="108">
        <f t="shared" si="34"/>
        <v>23950.830359174426</v>
      </c>
      <c r="J77" s="108">
        <f t="shared" si="34"/>
        <v>25319.582167181507</v>
      </c>
      <c r="K77" s="108">
        <f t="shared" si="34"/>
        <v>27817.27016061862</v>
      </c>
      <c r="L77" s="108">
        <f t="shared" si="34"/>
        <v>30144.924515229064</v>
      </c>
      <c r="M77" s="108">
        <f t="shared" si="34"/>
        <v>29184.714641537343</v>
      </c>
      <c r="N77" s="108">
        <f t="shared" si="34"/>
        <v>25090.517437176823</v>
      </c>
      <c r="O77" s="108">
        <f t="shared" si="34"/>
        <v>297323</v>
      </c>
      <c r="P77" s="108">
        <f t="shared" si="34"/>
        <v>309860.9796507284</v>
      </c>
      <c r="Q77" s="68">
        <v>294323</v>
      </c>
      <c r="R77" s="149"/>
    </row>
    <row r="78" spans="1:18" x14ac:dyDescent="0.3">
      <c r="A78" s="178"/>
      <c r="B78" s="109" t="s">
        <v>99</v>
      </c>
      <c r="C78" s="83">
        <f t="shared" ref="C78:O78" si="35">SUM(C49-C77)</f>
        <v>11936.212357585271</v>
      </c>
      <c r="D78" s="83">
        <f t="shared" si="35"/>
        <v>12697.030141056701</v>
      </c>
      <c r="E78" s="83">
        <f t="shared" si="35"/>
        <v>5557.1938108368595</v>
      </c>
      <c r="F78" s="83">
        <f t="shared" si="35"/>
        <v>3524.3812320310935</v>
      </c>
      <c r="G78" s="83">
        <f t="shared" si="35"/>
        <v>600.29334694457793</v>
      </c>
      <c r="H78" s="83">
        <f t="shared" si="35"/>
        <v>-1004.7070672719929</v>
      </c>
      <c r="I78" s="83">
        <f t="shared" si="35"/>
        <v>505.42648667314643</v>
      </c>
      <c r="J78" s="83">
        <f t="shared" si="35"/>
        <v>3946.2999421382992</v>
      </c>
      <c r="K78" s="83">
        <f t="shared" si="35"/>
        <v>1372.9190173488714</v>
      </c>
      <c r="L78" s="83">
        <f t="shared" si="35"/>
        <v>12073.141721303156</v>
      </c>
      <c r="M78" s="83">
        <f t="shared" si="35"/>
        <v>8230.0800266453007</v>
      </c>
      <c r="N78" s="83">
        <f t="shared" si="35"/>
        <v>10203.527620433379</v>
      </c>
      <c r="O78" s="83">
        <f t="shared" si="35"/>
        <v>-1109793.0313685639</v>
      </c>
      <c r="P78" s="83">
        <f>SUM(P49-P77)</f>
        <v>69641.798635724699</v>
      </c>
      <c r="Q78" s="138">
        <v>69719</v>
      </c>
      <c r="R78" s="149"/>
    </row>
    <row r="79" spans="1:18" x14ac:dyDescent="0.3">
      <c r="A79" s="178"/>
      <c r="B79" s="110" t="s">
        <v>100</v>
      </c>
      <c r="C79" s="111">
        <f t="shared" ref="C79:O79" si="36">SUM(C78/C9)</f>
        <v>9.5536878792905247E-2</v>
      </c>
      <c r="D79" s="111">
        <f t="shared" si="36"/>
        <v>0.11247026384393607</v>
      </c>
      <c r="E79" s="111">
        <f t="shared" si="36"/>
        <v>5.619126701515624E-2</v>
      </c>
      <c r="F79" s="111">
        <f t="shared" si="36"/>
        <v>4.0097151487821052E-2</v>
      </c>
      <c r="G79" s="111">
        <f t="shared" si="36"/>
        <v>8.4613701953857885E-3</v>
      </c>
      <c r="H79" s="111">
        <f t="shared" si="36"/>
        <v>-1.2449613215554892E-2</v>
      </c>
      <c r="I79" s="111">
        <f t="shared" si="36"/>
        <v>6.3892404290698292E-3</v>
      </c>
      <c r="J79" s="111">
        <f t="shared" si="36"/>
        <v>4.3882361311401295E-2</v>
      </c>
      <c r="K79" s="111">
        <f t="shared" si="36"/>
        <v>1.4671479124597179E-2</v>
      </c>
      <c r="L79" s="111">
        <f t="shared" si="36"/>
        <v>9.1950301580982496E-2</v>
      </c>
      <c r="M79" s="111">
        <f t="shared" si="36"/>
        <v>6.5984618651059021E-2</v>
      </c>
      <c r="N79" s="111">
        <f t="shared" si="36"/>
        <v>8.865826071821363E-2</v>
      </c>
      <c r="O79" s="111" t="e">
        <f t="shared" si="36"/>
        <v>#DIV/0!</v>
      </c>
      <c r="P79" s="111">
        <f>SUM(P78/P9)</f>
        <v>5.7555198824790793E-2</v>
      </c>
      <c r="Q79" s="124">
        <v>5.7619008264462812E-2</v>
      </c>
      <c r="R79" s="146"/>
    </row>
    <row r="80" spans="1:18" hidden="1" x14ac:dyDescent="0.3">
      <c r="A80" s="176"/>
      <c r="B80" s="112" t="s">
        <v>62</v>
      </c>
      <c r="C80" s="15" t="e">
        <f>SUM(C$71+C$76)/#REF!</f>
        <v>#REF!</v>
      </c>
      <c r="D80" s="15" t="e">
        <f>SUM(D$71+D$76)/#REF!</f>
        <v>#REF!</v>
      </c>
      <c r="E80" s="15" t="e">
        <f>SUM(E$71+E$76)/#REF!</f>
        <v>#REF!</v>
      </c>
      <c r="F80" s="15" t="e">
        <f>SUM(F$71+F$76)/#REF!</f>
        <v>#REF!</v>
      </c>
      <c r="G80" s="15" t="e">
        <f>SUM(G$71+G$76)/#REF!</f>
        <v>#REF!</v>
      </c>
      <c r="H80" s="15" t="e">
        <f>SUM(H$71+H$76)/#REF!</f>
        <v>#REF!</v>
      </c>
      <c r="I80" s="15" t="e">
        <f>SUM(I$71+I$76)/#REF!</f>
        <v>#REF!</v>
      </c>
      <c r="J80" s="15" t="e">
        <f>SUM(J$71+J$76)/#REF!</f>
        <v>#REF!</v>
      </c>
      <c r="K80" s="15" t="e">
        <f>SUM(K$71+K$76)/#REF!</f>
        <v>#REF!</v>
      </c>
      <c r="L80" s="15" t="e">
        <f>SUM(L$71+L$76)/#REF!</f>
        <v>#REF!</v>
      </c>
      <c r="M80" s="15" t="e">
        <f>SUM(M$71+M$76)/#REF!</f>
        <v>#REF!</v>
      </c>
      <c r="N80" s="15" t="e">
        <f>SUM(N$71+N$76)/#REF!</f>
        <v>#REF!</v>
      </c>
      <c r="O80" s="15" t="e">
        <f>SUM(O$71+O$76)/#REF!</f>
        <v>#REF!</v>
      </c>
      <c r="P80" s="16" t="e">
        <f>SUM(P$71+P$76)/#REF!</f>
        <v>#REF!</v>
      </c>
      <c r="Q80" s="137"/>
      <c r="R80" s="146"/>
    </row>
    <row r="81" spans="1:18" x14ac:dyDescent="0.3">
      <c r="A81" s="176"/>
      <c r="B81" s="6"/>
      <c r="C81" s="5"/>
      <c r="D81" s="5"/>
      <c r="E81" s="5"/>
      <c r="F81" s="5"/>
      <c r="G81" s="5"/>
      <c r="H81" s="6"/>
      <c r="I81" s="6"/>
      <c r="J81" s="6"/>
      <c r="K81" s="6"/>
      <c r="L81" s="6"/>
      <c r="M81" s="6"/>
      <c r="N81" s="6"/>
      <c r="O81" s="6"/>
      <c r="P81" s="113"/>
      <c r="Q81" s="113"/>
      <c r="R81" s="146"/>
    </row>
    <row r="82" spans="1:18" ht="15.75" customHeight="1" x14ac:dyDescent="0.3">
      <c r="A82" s="176"/>
      <c r="B82" s="622" t="s">
        <v>43</v>
      </c>
      <c r="C82" s="623"/>
      <c r="D82" s="623"/>
      <c r="E82" s="623"/>
      <c r="F82" s="623"/>
      <c r="G82" s="623"/>
      <c r="H82" s="623"/>
      <c r="I82" s="623"/>
      <c r="J82" s="623"/>
      <c r="K82" s="623"/>
      <c r="L82" s="623"/>
      <c r="M82" s="623"/>
      <c r="N82" s="623"/>
      <c r="O82" s="623"/>
      <c r="P82" s="624"/>
      <c r="Q82" s="123"/>
      <c r="R82" s="149"/>
    </row>
    <row r="83" spans="1:18" x14ac:dyDescent="0.3">
      <c r="A83" s="176"/>
      <c r="B83" s="114"/>
      <c r="C83" s="115"/>
      <c r="D83" s="115"/>
      <c r="E83" s="115"/>
      <c r="F83" s="115"/>
      <c r="G83" s="115"/>
      <c r="H83" s="114"/>
      <c r="I83" s="114"/>
      <c r="J83" s="114"/>
      <c r="K83" s="114"/>
      <c r="L83" s="114"/>
      <c r="M83" s="114"/>
      <c r="N83" s="114"/>
      <c r="O83" s="114"/>
      <c r="P83" s="20"/>
      <c r="Q83" s="20"/>
      <c r="R83" s="146"/>
    </row>
    <row r="84" spans="1:18" x14ac:dyDescent="0.3">
      <c r="A84" s="176"/>
      <c r="B84" s="4"/>
      <c r="C84" s="3"/>
      <c r="D84" s="3"/>
      <c r="E84" s="3"/>
      <c r="F84" s="3"/>
      <c r="G84" s="3"/>
      <c r="H84" s="4"/>
      <c r="I84" s="4"/>
      <c r="J84" s="4"/>
      <c r="K84" s="4"/>
      <c r="L84" s="4"/>
      <c r="M84" s="4"/>
      <c r="N84" s="4"/>
      <c r="O84" s="4"/>
      <c r="P84" s="21"/>
      <c r="Q84" s="21"/>
      <c r="R84" s="146"/>
    </row>
    <row r="85" spans="1:18" x14ac:dyDescent="0.3">
      <c r="A85" s="176"/>
      <c r="B85" s="4"/>
      <c r="C85" s="3"/>
      <c r="D85" s="3"/>
      <c r="E85" s="3"/>
      <c r="F85" s="3"/>
      <c r="G85" s="3"/>
      <c r="H85" s="4"/>
      <c r="I85" s="4"/>
      <c r="J85" s="4"/>
      <c r="K85" s="4"/>
      <c r="L85" s="4"/>
      <c r="M85" s="4"/>
      <c r="N85" s="4"/>
      <c r="O85" s="4"/>
      <c r="P85" s="21"/>
      <c r="Q85" s="21"/>
      <c r="R85" s="146"/>
    </row>
    <row r="86" spans="1:18" x14ac:dyDescent="0.3">
      <c r="A86" s="176"/>
      <c r="B86" s="4"/>
      <c r="C86" s="3"/>
      <c r="D86" s="3"/>
      <c r="E86" s="3"/>
      <c r="F86" s="3"/>
      <c r="G86" s="3"/>
      <c r="H86" s="4"/>
      <c r="I86" s="4"/>
      <c r="J86" s="4"/>
      <c r="K86" s="4"/>
      <c r="L86" s="4"/>
      <c r="M86" s="4"/>
      <c r="N86" s="4"/>
      <c r="O86" s="4"/>
      <c r="P86" s="21"/>
      <c r="Q86" s="21"/>
      <c r="R86" s="146"/>
    </row>
    <row r="87" spans="1:18" x14ac:dyDescent="0.3">
      <c r="A87" s="176"/>
      <c r="B87" s="4"/>
      <c r="C87" s="3"/>
      <c r="D87" s="3"/>
      <c r="E87" s="3"/>
      <c r="F87" s="3"/>
      <c r="G87" s="3"/>
      <c r="H87" s="4"/>
      <c r="I87" s="4"/>
      <c r="J87" s="4"/>
      <c r="K87" s="4"/>
      <c r="L87" s="4"/>
      <c r="M87" s="4"/>
      <c r="N87" s="4"/>
      <c r="O87" s="4"/>
      <c r="P87" s="21"/>
      <c r="Q87" s="21"/>
      <c r="R87" s="146"/>
    </row>
    <row r="88" spans="1:18" x14ac:dyDescent="0.3">
      <c r="A88" s="176"/>
      <c r="B88" s="4"/>
      <c r="C88" s="3"/>
      <c r="D88" s="3"/>
      <c r="E88" s="3"/>
      <c r="F88" s="3"/>
      <c r="G88" s="3"/>
      <c r="H88" s="4"/>
      <c r="I88" s="4"/>
      <c r="J88" s="4"/>
      <c r="K88" s="4"/>
      <c r="L88" s="4"/>
      <c r="M88" s="4"/>
      <c r="N88" s="4"/>
      <c r="O88" s="4"/>
      <c r="P88" s="21"/>
      <c r="Q88" s="21"/>
      <c r="R88" s="146"/>
    </row>
    <row r="89" spans="1:18" x14ac:dyDescent="0.3">
      <c r="A89" s="176"/>
      <c r="B89" s="4"/>
      <c r="C89" s="3"/>
      <c r="D89" s="3"/>
      <c r="E89" s="3"/>
      <c r="F89" s="3"/>
      <c r="G89" s="3"/>
      <c r="H89" s="3"/>
      <c r="I89" s="3"/>
      <c r="J89" s="3"/>
      <c r="K89" s="3"/>
      <c r="L89" s="3"/>
      <c r="M89" s="3"/>
      <c r="N89" s="3"/>
      <c r="O89" s="4"/>
      <c r="P89" s="21"/>
      <c r="Q89" s="21"/>
      <c r="R89" s="146"/>
    </row>
    <row r="90" spans="1:18" x14ac:dyDescent="0.3">
      <c r="A90" s="179"/>
    </row>
  </sheetData>
  <sheetProtection algorithmName="SHA-512" hashValue="9iyD7wSt6bnHFf4+K8zc1jmzGhz04VZ83voBWvwNKH7sKbR923mqj5KEUxDr3kNq/BMuJHJ4WAKwpI4MogETJA==" saltValue="vKckpQV8Gceee6ygZokTXQ==" spinCount="100000" sheet="1" objects="1" scenarios="1"/>
  <mergeCells count="1">
    <mergeCell ref="B82:P82"/>
  </mergeCells>
  <conditionalFormatting sqref="C1:P1048576">
    <cfRule type="cellIs" dxfId="4" priority="1" operator="lessThan">
      <formula>0</formula>
    </cfRule>
  </conditionalFormatting>
  <printOptions gridLines="1"/>
  <pageMargins left="0.7" right="0.7" top="0.75" bottom="0.75" header="0.3" footer="0.3"/>
  <headerFooter>
    <oddFooter>&amp;R&amp;P</oddFooter>
  </headerFooter>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B9D93-369A-4086-B7F8-B07ACF3D9A4C}">
  <dimension ref="A1:AF89"/>
  <sheetViews>
    <sheetView zoomScale="85" zoomScaleNormal="85" workbookViewId="0">
      <pane xSplit="2" ySplit="2" topLeftCell="R3" activePane="bottomRight" state="frozen"/>
      <selection pane="topRight"/>
      <selection pane="bottomLeft"/>
      <selection pane="bottomRight" activeCell="R1" sqref="R1"/>
    </sheetView>
  </sheetViews>
  <sheetFormatPr defaultColWidth="9.109375" defaultRowHeight="14.4" x14ac:dyDescent="0.3"/>
  <cols>
    <col min="1" max="1" width="10.5546875" style="179" customWidth="1"/>
    <col min="2" max="2" width="37" customWidth="1"/>
    <col min="3" max="3" width="14.6640625" customWidth="1"/>
    <col min="4" max="13" width="13.109375" customWidth="1"/>
    <col min="14" max="14" width="13.88671875" customWidth="1"/>
    <col min="15" max="15" width="17.33203125" hidden="1" customWidth="1"/>
    <col min="16" max="16" width="17.33203125" customWidth="1"/>
    <col min="17" max="17" width="17.33203125" hidden="1" customWidth="1"/>
    <col min="18" max="18" width="10.88671875" style="152" customWidth="1"/>
    <col min="19" max="19" width="15.33203125" customWidth="1"/>
    <col min="20" max="20" width="15" customWidth="1"/>
  </cols>
  <sheetData>
    <row r="1" spans="1:32" ht="66" customHeight="1" x14ac:dyDescent="0.75">
      <c r="A1" s="174"/>
      <c r="B1" s="48"/>
      <c r="C1" s="2"/>
      <c r="E1" s="3"/>
      <c r="F1" s="3"/>
      <c r="G1" s="2"/>
      <c r="H1" s="4"/>
      <c r="I1" s="4"/>
      <c r="J1" s="2"/>
      <c r="K1" s="4"/>
      <c r="L1" s="4"/>
      <c r="M1" s="4"/>
      <c r="N1" s="4"/>
      <c r="O1" s="49"/>
      <c r="P1" s="50"/>
      <c r="Q1" s="50"/>
      <c r="R1" s="146"/>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47"/>
      <c r="S2"/>
      <c r="T2"/>
      <c r="U2"/>
      <c r="V2"/>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148"/>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148"/>
    </row>
    <row r="5" spans="1:32" x14ac:dyDescent="0.3">
      <c r="A5" s="175">
        <v>4100</v>
      </c>
      <c r="B5" s="125" t="s">
        <v>102</v>
      </c>
      <c r="C5" s="158">
        <v>82940</v>
      </c>
      <c r="D5" s="158">
        <v>74230</v>
      </c>
      <c r="E5" s="158">
        <v>64090</v>
      </c>
      <c r="F5" s="158">
        <v>56225.000000000007</v>
      </c>
      <c r="G5" s="158">
        <v>44135</v>
      </c>
      <c r="H5" s="158">
        <v>51090</v>
      </c>
      <c r="I5" s="158">
        <v>49660</v>
      </c>
      <c r="J5" s="158">
        <v>57590</v>
      </c>
      <c r="K5" s="158">
        <v>59995</v>
      </c>
      <c r="L5" s="158">
        <v>87880</v>
      </c>
      <c r="M5" s="158">
        <v>82940</v>
      </c>
      <c r="N5" s="158">
        <v>75724.350000000006</v>
      </c>
      <c r="O5" s="63"/>
      <c r="P5" s="64">
        <f>SUM(C5:N5)</f>
        <v>786499.35</v>
      </c>
      <c r="Q5" s="135">
        <v>786499.35</v>
      </c>
      <c r="R5" s="170">
        <v>0.65</v>
      </c>
    </row>
    <row r="6" spans="1:32" x14ac:dyDescent="0.3">
      <c r="A6" s="175">
        <v>4200</v>
      </c>
      <c r="B6" s="125" t="s">
        <v>103</v>
      </c>
      <c r="C6" s="158">
        <v>15312</v>
      </c>
      <c r="D6" s="158">
        <v>13704</v>
      </c>
      <c r="E6" s="158">
        <v>11832</v>
      </c>
      <c r="F6" s="158">
        <v>10380</v>
      </c>
      <c r="G6" s="158">
        <v>8148</v>
      </c>
      <c r="H6" s="158">
        <v>9432</v>
      </c>
      <c r="I6" s="158">
        <v>9168</v>
      </c>
      <c r="J6" s="158">
        <v>10632</v>
      </c>
      <c r="K6" s="158">
        <v>11076</v>
      </c>
      <c r="L6" s="158">
        <v>16224</v>
      </c>
      <c r="M6" s="158">
        <v>15312</v>
      </c>
      <c r="N6" s="158">
        <v>13979.880000000003</v>
      </c>
      <c r="O6" s="63"/>
      <c r="P6" s="64">
        <f>SUM(C6:N6)</f>
        <v>145199.88</v>
      </c>
      <c r="Q6" s="135">
        <v>145199.88</v>
      </c>
      <c r="R6" s="170">
        <v>0.12</v>
      </c>
    </row>
    <row r="7" spans="1:32" x14ac:dyDescent="0.3">
      <c r="A7" s="175">
        <v>4300</v>
      </c>
      <c r="B7" s="125" t="s">
        <v>104</v>
      </c>
      <c r="C7" s="158">
        <v>11484</v>
      </c>
      <c r="D7" s="158">
        <v>10278</v>
      </c>
      <c r="E7" s="158">
        <v>8874</v>
      </c>
      <c r="F7" s="158">
        <v>7785.0000000000009</v>
      </c>
      <c r="G7" s="158">
        <v>6111</v>
      </c>
      <c r="H7" s="158">
        <v>7074</v>
      </c>
      <c r="I7" s="158">
        <v>6876</v>
      </c>
      <c r="J7" s="158">
        <v>7974</v>
      </c>
      <c r="K7" s="158">
        <v>8307</v>
      </c>
      <c r="L7" s="158">
        <v>12168</v>
      </c>
      <c r="M7" s="158">
        <v>11484</v>
      </c>
      <c r="N7" s="158">
        <v>10484.91</v>
      </c>
      <c r="O7" s="63"/>
      <c r="P7" s="64">
        <f>SUM(C7:N7)</f>
        <v>108899.91</v>
      </c>
      <c r="Q7" s="135">
        <v>108899.91</v>
      </c>
      <c r="R7" s="170">
        <v>0.09</v>
      </c>
    </row>
    <row r="8" spans="1:32" x14ac:dyDescent="0.3">
      <c r="A8" s="175">
        <v>4400</v>
      </c>
      <c r="B8" s="187" t="s">
        <v>105</v>
      </c>
      <c r="C8" s="188">
        <v>0.49</v>
      </c>
      <c r="D8" s="188">
        <v>0.49</v>
      </c>
      <c r="E8" s="188">
        <v>43984</v>
      </c>
      <c r="F8" s="188">
        <v>0.49</v>
      </c>
      <c r="G8" s="188">
        <v>0.49</v>
      </c>
      <c r="H8" s="188">
        <v>39163</v>
      </c>
      <c r="I8" s="188">
        <v>0.49</v>
      </c>
      <c r="J8" s="188">
        <v>0.49</v>
      </c>
      <c r="K8" s="188">
        <v>41334</v>
      </c>
      <c r="L8" s="158">
        <v>15028.73</v>
      </c>
      <c r="M8" s="158">
        <v>14991.25</v>
      </c>
      <c r="N8" s="275">
        <v>14899.15</v>
      </c>
      <c r="O8" s="63"/>
      <c r="P8" s="64">
        <f>SUM(C8:N8)</f>
        <v>169403.07</v>
      </c>
      <c r="Q8" s="135">
        <v>169400.49391902841</v>
      </c>
      <c r="R8" s="170">
        <v>0.14000000000000001</v>
      </c>
    </row>
    <row r="9" spans="1:32" x14ac:dyDescent="0.3">
      <c r="A9" s="176"/>
      <c r="B9" s="65" t="s">
        <v>61</v>
      </c>
      <c r="C9" s="157">
        <f t="shared" ref="C9:O9" si="0">SUM(C5:C8)</f>
        <v>109736.49</v>
      </c>
      <c r="D9" s="157">
        <f t="shared" si="0"/>
        <v>98212.49</v>
      </c>
      <c r="E9" s="157">
        <f t="shared" si="0"/>
        <v>128780</v>
      </c>
      <c r="F9" s="157">
        <f t="shared" si="0"/>
        <v>74390.490000000005</v>
      </c>
      <c r="G9" s="157">
        <f t="shared" si="0"/>
        <v>58394.49</v>
      </c>
      <c r="H9" s="157">
        <f t="shared" si="0"/>
        <v>106759</v>
      </c>
      <c r="I9" s="157">
        <f t="shared" si="0"/>
        <v>65704.490000000005</v>
      </c>
      <c r="J9" s="157">
        <f t="shared" si="0"/>
        <v>76196.490000000005</v>
      </c>
      <c r="K9" s="157">
        <f t="shared" si="0"/>
        <v>120712</v>
      </c>
      <c r="L9" s="157">
        <f t="shared" si="0"/>
        <v>131300.73000000001</v>
      </c>
      <c r="M9" s="157">
        <f t="shared" si="0"/>
        <v>124727.25</v>
      </c>
      <c r="N9" s="157">
        <f t="shared" si="0"/>
        <v>115088.29000000001</v>
      </c>
      <c r="O9" s="69">
        <f t="shared" si="0"/>
        <v>0</v>
      </c>
      <c r="P9" s="69">
        <f>SUM(P5:P8)</f>
        <v>1210002.21</v>
      </c>
      <c r="Q9" s="136">
        <v>1210000</v>
      </c>
      <c r="R9" s="171">
        <f>SUM(R5:R8)</f>
        <v>1</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150"/>
    </row>
    <row r="11" spans="1:32" x14ac:dyDescent="0.3">
      <c r="A11" s="177"/>
      <c r="B11" s="73"/>
      <c r="C11" s="18"/>
      <c r="D11" s="18"/>
      <c r="E11" s="18"/>
      <c r="F11" s="18"/>
      <c r="G11" s="18"/>
      <c r="H11" s="18"/>
      <c r="I11" s="18"/>
      <c r="J11" s="18"/>
      <c r="K11" s="18"/>
      <c r="L11" s="18"/>
      <c r="M11" s="18"/>
      <c r="N11" s="18"/>
      <c r="O11" s="18"/>
      <c r="P11" s="19"/>
      <c r="Q11" s="19"/>
      <c r="R11" s="151"/>
    </row>
    <row r="12" spans="1:32" x14ac:dyDescent="0.3">
      <c r="A12" s="176"/>
      <c r="B12" s="101" t="s">
        <v>106</v>
      </c>
      <c r="C12" s="9"/>
      <c r="D12" s="5"/>
      <c r="E12" s="184"/>
      <c r="F12" s="184"/>
      <c r="G12" s="184"/>
      <c r="H12" s="185"/>
      <c r="I12" s="185"/>
      <c r="J12" s="6"/>
      <c r="K12" s="6"/>
      <c r="L12" s="6"/>
      <c r="M12" s="6"/>
      <c r="N12" s="6"/>
      <c r="O12" s="7">
        <v>35314</v>
      </c>
      <c r="P12" s="8"/>
      <c r="Q12" s="8"/>
      <c r="R12" s="146"/>
    </row>
    <row r="13" spans="1:32" x14ac:dyDescent="0.3">
      <c r="A13" s="176">
        <v>5110</v>
      </c>
      <c r="B13" s="182" t="s">
        <v>107</v>
      </c>
      <c r="C13" s="186">
        <v>42318.944065243028</v>
      </c>
      <c r="D13" s="183">
        <v>137874.791632059</v>
      </c>
      <c r="E13" s="183">
        <v>8148.7670650966866</v>
      </c>
      <c r="F13" s="183">
        <v>7148.7662386497859</v>
      </c>
      <c r="G13" s="183">
        <v>5611.5748855990787</v>
      </c>
      <c r="H13" s="183">
        <v>6495.8731370852365</v>
      </c>
      <c r="I13" s="183">
        <v>7910</v>
      </c>
      <c r="J13" s="186">
        <v>29384.470565678155</v>
      </c>
      <c r="K13" s="186">
        <v>30611.587282303542</v>
      </c>
      <c r="L13" s="186">
        <v>44839.508131824907</v>
      </c>
      <c r="M13" s="186">
        <v>42318.944065243028</v>
      </c>
      <c r="N13" s="186">
        <v>38637.262262200216</v>
      </c>
      <c r="O13" s="76">
        <v>401300</v>
      </c>
      <c r="P13" s="64">
        <f t="shared" ref="P13:P16" si="1">SUM(C13:N13)</f>
        <v>401300.48933098261</v>
      </c>
      <c r="Q13" s="135">
        <v>401300</v>
      </c>
      <c r="R13" s="149"/>
    </row>
    <row r="14" spans="1:32" x14ac:dyDescent="0.3">
      <c r="A14" s="176">
        <v>5120</v>
      </c>
      <c r="B14" s="145" t="s">
        <v>108</v>
      </c>
      <c r="C14" s="142">
        <f>(C$5/$Q$5)*$Q14</f>
        <v>4921.567703774962</v>
      </c>
      <c r="D14" s="142">
        <f t="shared" ref="D14:N15" si="2">(D$5/$Q$5)*$Q14</f>
        <v>4404.7259543189703</v>
      </c>
      <c r="E14" s="142">
        <f t="shared" si="2"/>
        <v>3803.0295892806525</v>
      </c>
      <c r="F14" s="142">
        <f t="shared" si="2"/>
        <v>3336.329203577855</v>
      </c>
      <c r="G14" s="142">
        <f t="shared" si="2"/>
        <v>2618.9219991090904</v>
      </c>
      <c r="H14" s="142">
        <f t="shared" si="2"/>
        <v>3031.6239930776801</v>
      </c>
      <c r="I14" s="142">
        <f t="shared" si="2"/>
        <v>2946.7693774953536</v>
      </c>
      <c r="J14" s="142">
        <f t="shared" si="2"/>
        <v>3417.3267911791663</v>
      </c>
      <c r="K14" s="142">
        <f t="shared" si="2"/>
        <v>3560.0368264767162</v>
      </c>
      <c r="L14" s="142">
        <f t="shared" si="2"/>
        <v>5214.701830332091</v>
      </c>
      <c r="M14" s="142">
        <f t="shared" si="2"/>
        <v>4921.567703774962</v>
      </c>
      <c r="N14" s="142">
        <f t="shared" si="2"/>
        <v>4493.3990276025024</v>
      </c>
      <c r="O14" s="76">
        <v>96670</v>
      </c>
      <c r="P14" s="64">
        <f t="shared" si="1"/>
        <v>46670</v>
      </c>
      <c r="Q14" s="135">
        <v>46670</v>
      </c>
      <c r="R14" s="149"/>
    </row>
    <row r="15" spans="1:32" x14ac:dyDescent="0.3">
      <c r="A15" s="176">
        <v>5130</v>
      </c>
      <c r="B15" s="145" t="s">
        <v>109</v>
      </c>
      <c r="C15" s="142">
        <f>(C$5/$Q$5)*$Q15</f>
        <v>1845.4560706248519</v>
      </c>
      <c r="D15" s="142">
        <f t="shared" si="2"/>
        <v>1651.6542575655021</v>
      </c>
      <c r="E15" s="142">
        <f t="shared" si="2"/>
        <v>1426.034236391931</v>
      </c>
      <c r="F15" s="142">
        <f t="shared" si="2"/>
        <v>1251.0340917637125</v>
      </c>
      <c r="G15" s="142">
        <f t="shared" si="2"/>
        <v>982.02560497983882</v>
      </c>
      <c r="H15" s="142">
        <f t="shared" si="2"/>
        <v>1136.7777989899164</v>
      </c>
      <c r="I15" s="142">
        <f t="shared" si="2"/>
        <v>1104.9595908756951</v>
      </c>
      <c r="J15" s="142">
        <f t="shared" si="2"/>
        <v>1281.4060176909238</v>
      </c>
      <c r="K15" s="142">
        <f t="shared" si="2"/>
        <v>1334.9184586102965</v>
      </c>
      <c r="L15" s="142">
        <f t="shared" si="2"/>
        <v>1955.3735168376172</v>
      </c>
      <c r="M15" s="142">
        <f t="shared" si="2"/>
        <v>1845.4560706248519</v>
      </c>
      <c r="N15" s="142">
        <f t="shared" si="2"/>
        <v>1684.9042850448639</v>
      </c>
      <c r="O15" s="76">
        <v>55500</v>
      </c>
      <c r="P15" s="64">
        <f t="shared" si="1"/>
        <v>17500</v>
      </c>
      <c r="Q15" s="135">
        <v>17500</v>
      </c>
      <c r="R15" s="149"/>
    </row>
    <row r="16" spans="1:32" x14ac:dyDescent="0.3">
      <c r="A16" s="176">
        <v>5140</v>
      </c>
      <c r="B16" s="145" t="s">
        <v>110</v>
      </c>
      <c r="C16" s="142">
        <v>7292.4555912856122</v>
      </c>
      <c r="D16" s="142">
        <v>7095.5629194734875</v>
      </c>
      <c r="E16" s="142">
        <v>5667.8520478116097</v>
      </c>
      <c r="F16" s="142">
        <v>5346.8519486379737</v>
      </c>
      <c r="G16" s="142">
        <v>4040.3339176313366</v>
      </c>
      <c r="H16" s="142">
        <v>4677.0286587013707</v>
      </c>
      <c r="I16" s="142">
        <v>4546.119459602859</v>
      </c>
      <c r="J16" s="142">
        <v>5771.6784121309192</v>
      </c>
      <c r="K16" s="142">
        <v>4992.3726573327749</v>
      </c>
      <c r="L16" s="142">
        <v>7044.8275544029375</v>
      </c>
      <c r="M16" s="142">
        <v>8592.4555912856122</v>
      </c>
      <c r="N16" s="142">
        <v>6932.177629898868</v>
      </c>
      <c r="O16" s="76">
        <v>60000</v>
      </c>
      <c r="P16" s="64">
        <f t="shared" si="1"/>
        <v>71999.71638819536</v>
      </c>
      <c r="Q16" s="135">
        <v>72000</v>
      </c>
      <c r="R16" s="149"/>
    </row>
    <row r="17" spans="1:18" x14ac:dyDescent="0.3">
      <c r="A17" s="176">
        <v>5150</v>
      </c>
      <c r="B17" s="145" t="s">
        <v>111</v>
      </c>
      <c r="C17" s="142">
        <f>(C$5/$Q$5)*$Q17</f>
        <v>1054.5463260713439</v>
      </c>
      <c r="D17" s="142">
        <f t="shared" ref="D17:N17" si="3">(D$5/$Q$5)*$Q17</f>
        <v>943.80243289457269</v>
      </c>
      <c r="E17" s="142">
        <f t="shared" si="3"/>
        <v>814.87670650967482</v>
      </c>
      <c r="F17" s="142">
        <f t="shared" si="3"/>
        <v>714.87662386497857</v>
      </c>
      <c r="G17" s="142">
        <f t="shared" si="3"/>
        <v>561.15748855990796</v>
      </c>
      <c r="H17" s="142">
        <f t="shared" si="3"/>
        <v>649.58731370852365</v>
      </c>
      <c r="I17" s="142">
        <f t="shared" si="3"/>
        <v>631.40548050039718</v>
      </c>
      <c r="J17" s="142">
        <f t="shared" si="3"/>
        <v>732.23201010909929</v>
      </c>
      <c r="K17" s="142">
        <f t="shared" si="3"/>
        <v>762.81054777731231</v>
      </c>
      <c r="L17" s="142">
        <f t="shared" si="3"/>
        <v>1117.3562953357814</v>
      </c>
      <c r="M17" s="142">
        <f t="shared" si="3"/>
        <v>1054.5463260713439</v>
      </c>
      <c r="N17" s="142">
        <f t="shared" si="3"/>
        <v>962.80244859706499</v>
      </c>
      <c r="O17" s="76"/>
      <c r="P17" s="64">
        <f t="shared" ref="P17" si="4">SUM(C17:N17)</f>
        <v>10000.000000000002</v>
      </c>
      <c r="Q17" s="135">
        <v>10000</v>
      </c>
      <c r="R17" s="149"/>
    </row>
    <row r="18" spans="1:18" x14ac:dyDescent="0.3">
      <c r="A18" s="178"/>
      <c r="B18" s="131" t="s">
        <v>112</v>
      </c>
      <c r="C18" s="69">
        <f t="shared" ref="C18:O18" si="5">SUM(C13:C17)</f>
        <v>57432.969756999795</v>
      </c>
      <c r="D18" s="69">
        <f t="shared" si="5"/>
        <v>151970.53719631152</v>
      </c>
      <c r="E18" s="69">
        <f t="shared" si="5"/>
        <v>19860.559645090558</v>
      </c>
      <c r="F18" s="69">
        <f t="shared" si="5"/>
        <v>17797.858106494306</v>
      </c>
      <c r="G18" s="69">
        <f t="shared" si="5"/>
        <v>13814.013895879252</v>
      </c>
      <c r="H18" s="69">
        <f t="shared" si="5"/>
        <v>15990.890901562727</v>
      </c>
      <c r="I18" s="69">
        <f t="shared" si="5"/>
        <v>17139.253908474304</v>
      </c>
      <c r="J18" s="69">
        <f t="shared" si="5"/>
        <v>40587.113796788268</v>
      </c>
      <c r="K18" s="69">
        <f t="shared" si="5"/>
        <v>41261.725772500642</v>
      </c>
      <c r="L18" s="69">
        <f t="shared" si="5"/>
        <v>60171.767328733331</v>
      </c>
      <c r="M18" s="69">
        <f t="shared" si="5"/>
        <v>58732.969756999795</v>
      </c>
      <c r="N18" s="69">
        <f t="shared" si="5"/>
        <v>52710.545653343514</v>
      </c>
      <c r="O18" s="69">
        <f t="shared" si="5"/>
        <v>613470</v>
      </c>
      <c r="P18" s="69">
        <f>SUM(P13:P17)</f>
        <v>547470.20571917796</v>
      </c>
      <c r="Q18" s="136">
        <v>408524</v>
      </c>
      <c r="R18" s="149"/>
    </row>
    <row r="19" spans="1:18" x14ac:dyDescent="0.3">
      <c r="A19" s="177"/>
      <c r="B19" s="82" t="s">
        <v>69</v>
      </c>
      <c r="C19" s="83">
        <f>SUM(C5-C18)</f>
        <v>25507.030243000205</v>
      </c>
      <c r="D19" s="83">
        <f t="shared" ref="D19:N19" si="6">SUM(D5-D18)</f>
        <v>-77740.537196311518</v>
      </c>
      <c r="E19" s="83">
        <f t="shared" si="6"/>
        <v>44229.440354909442</v>
      </c>
      <c r="F19" s="83">
        <f t="shared" si="6"/>
        <v>38427.141893505701</v>
      </c>
      <c r="G19" s="83">
        <f t="shared" si="6"/>
        <v>30320.986104120748</v>
      </c>
      <c r="H19" s="83">
        <f t="shared" si="6"/>
        <v>35099.109098437271</v>
      </c>
      <c r="I19" s="83">
        <f t="shared" si="6"/>
        <v>32520.746091525696</v>
      </c>
      <c r="J19" s="83">
        <f t="shared" si="6"/>
        <v>17002.886203211732</v>
      </c>
      <c r="K19" s="83">
        <f t="shared" si="6"/>
        <v>18733.274227499358</v>
      </c>
      <c r="L19" s="83">
        <f t="shared" si="6"/>
        <v>27708.232671266669</v>
      </c>
      <c r="M19" s="83">
        <f t="shared" si="6"/>
        <v>24207.030243000205</v>
      </c>
      <c r="N19" s="83">
        <f t="shared" si="6"/>
        <v>23013.804346656492</v>
      </c>
      <c r="O19" s="83">
        <f>SUM(O5-O18)</f>
        <v>-613470</v>
      </c>
      <c r="P19" s="83">
        <f>SUM(P5-P18)</f>
        <v>239029.14428082202</v>
      </c>
      <c r="Q19" s="138">
        <v>801476</v>
      </c>
      <c r="R19" s="151"/>
    </row>
    <row r="20" spans="1:18" x14ac:dyDescent="0.3">
      <c r="A20" s="175"/>
      <c r="B20" s="84" t="s">
        <v>70</v>
      </c>
      <c r="C20" s="85">
        <f t="shared" ref="C20:O20" si="7">(C5-C18)/C5</f>
        <v>0.30753593251748501</v>
      </c>
      <c r="D20" s="85">
        <f t="shared" si="7"/>
        <v>-1.0472927010145698</v>
      </c>
      <c r="E20" s="85">
        <f t="shared" si="7"/>
        <v>0.69011453198485628</v>
      </c>
      <c r="F20" s="85">
        <f t="shared" si="7"/>
        <v>0.68345294608280471</v>
      </c>
      <c r="G20" s="85">
        <f t="shared" si="7"/>
        <v>0.6870054628780049</v>
      </c>
      <c r="H20" s="85">
        <f t="shared" si="7"/>
        <v>0.6870054628780049</v>
      </c>
      <c r="I20" s="85">
        <f t="shared" si="7"/>
        <v>0.65486802439640945</v>
      </c>
      <c r="J20" s="85">
        <f t="shared" si="7"/>
        <v>0.2952402535720044</v>
      </c>
      <c r="K20" s="85">
        <f t="shared" si="7"/>
        <v>0.31224725772980011</v>
      </c>
      <c r="L20" s="85">
        <f t="shared" si="7"/>
        <v>0.3152962297595206</v>
      </c>
      <c r="M20" s="85">
        <f t="shared" si="7"/>
        <v>0.29186195132626241</v>
      </c>
      <c r="N20" s="85">
        <f t="shared" si="7"/>
        <v>0.30391550863964484</v>
      </c>
      <c r="O20" s="85" t="e">
        <f t="shared" si="7"/>
        <v>#DIV/0!</v>
      </c>
      <c r="P20" s="85">
        <f>(P5-P18)/P5</f>
        <v>0.30391524707658313</v>
      </c>
      <c r="Q20" s="124">
        <v>0.32475316095302559</v>
      </c>
      <c r="R20" s="148"/>
    </row>
    <row r="21" spans="1:18" x14ac:dyDescent="0.3">
      <c r="A21" s="175"/>
      <c r="B21" s="47"/>
      <c r="C21" s="24"/>
      <c r="D21" s="24"/>
      <c r="E21" s="24"/>
      <c r="F21" s="24"/>
      <c r="G21" s="24"/>
      <c r="H21" s="24"/>
      <c r="I21" s="24"/>
      <c r="J21" s="24"/>
      <c r="K21" s="24"/>
      <c r="L21" s="24"/>
      <c r="M21" s="24"/>
      <c r="N21" s="24"/>
      <c r="O21" s="24"/>
      <c r="P21" s="24"/>
      <c r="Q21" s="24"/>
      <c r="R21" s="148"/>
    </row>
    <row r="22" spans="1:18" x14ac:dyDescent="0.3">
      <c r="A22" s="175"/>
      <c r="B22" s="101" t="s">
        <v>113</v>
      </c>
      <c r="C22" s="9"/>
      <c r="D22" s="5"/>
      <c r="E22" s="5"/>
      <c r="F22" s="5"/>
      <c r="G22" s="5"/>
      <c r="H22" s="6"/>
      <c r="I22" s="6"/>
      <c r="J22" s="6"/>
      <c r="K22" s="6"/>
      <c r="L22" s="6"/>
      <c r="M22" s="6"/>
      <c r="N22" s="6"/>
      <c r="O22" s="7"/>
      <c r="P22" s="8"/>
      <c r="Q22" s="8"/>
      <c r="R22" s="146"/>
    </row>
    <row r="23" spans="1:18" x14ac:dyDescent="0.3">
      <c r="A23" s="175">
        <v>5210</v>
      </c>
      <c r="B23" s="145" t="s">
        <v>114</v>
      </c>
      <c r="C23" s="156">
        <v>10018.1900976778</v>
      </c>
      <c r="D23" s="156">
        <v>6966.1231124984397</v>
      </c>
      <c r="E23" s="156">
        <v>6241.3287118419103</v>
      </c>
      <c r="F23" s="156">
        <v>6291.3279267172902</v>
      </c>
      <c r="G23" s="156">
        <v>4130.9961413191204</v>
      </c>
      <c r="H23" s="156">
        <v>5371.0794802309701</v>
      </c>
      <c r="I23" s="156">
        <v>5998.3520647537698</v>
      </c>
      <c r="J23" s="156">
        <v>4956.2040960364402</v>
      </c>
      <c r="K23" s="156">
        <v>7246.7002038844703</v>
      </c>
      <c r="L23" s="156">
        <v>9614.8848056899005</v>
      </c>
      <c r="M23" s="156">
        <v>9018.1900976777997</v>
      </c>
      <c r="N23" s="156">
        <v>9146.6232616721009</v>
      </c>
      <c r="O23" s="97">
        <f>SUM(C23:N23)</f>
        <v>85000.000000000015</v>
      </c>
      <c r="P23" s="64">
        <f>SUM(C23:N23)</f>
        <v>85000.000000000015</v>
      </c>
      <c r="Q23" s="135">
        <v>95000</v>
      </c>
      <c r="R23" s="146"/>
    </row>
    <row r="24" spans="1:18" x14ac:dyDescent="0.3">
      <c r="A24" s="175">
        <v>5220</v>
      </c>
      <c r="B24" s="145" t="s">
        <v>109</v>
      </c>
      <c r="C24" s="156">
        <v>1101.81900976778</v>
      </c>
      <c r="D24" s="156">
        <v>796.61231124984397</v>
      </c>
      <c r="E24" s="156">
        <v>724.13287118419112</v>
      </c>
      <c r="F24" s="156">
        <v>729.13279267172902</v>
      </c>
      <c r="G24" s="156">
        <v>513.09961413191206</v>
      </c>
      <c r="H24" s="156">
        <v>637.10794802309704</v>
      </c>
      <c r="I24" s="156">
        <v>699.83520647537705</v>
      </c>
      <c r="J24" s="156">
        <v>595.62040960364402</v>
      </c>
      <c r="K24" s="156">
        <v>824.67002038844703</v>
      </c>
      <c r="L24" s="156">
        <v>961.4884805689901</v>
      </c>
      <c r="M24" s="156">
        <v>901.81900976778002</v>
      </c>
      <c r="N24" s="156">
        <v>1014.6623261672102</v>
      </c>
      <c r="O24" s="97"/>
      <c r="P24" s="64">
        <f>SUM(C24:N24)</f>
        <v>9500.0000000000018</v>
      </c>
      <c r="Q24" s="135">
        <v>9000</v>
      </c>
      <c r="R24" s="146"/>
    </row>
    <row r="25" spans="1:18" x14ac:dyDescent="0.3">
      <c r="A25" s="175"/>
      <c r="B25" s="101" t="s">
        <v>115</v>
      </c>
      <c r="C25" s="67">
        <f t="shared" ref="C25:O25" si="8">SUM(C23:C24)</f>
        <v>11120.00910744558</v>
      </c>
      <c r="D25" s="67">
        <f t="shared" si="8"/>
        <v>7762.7354237482832</v>
      </c>
      <c r="E25" s="67">
        <f t="shared" si="8"/>
        <v>6965.4615830261009</v>
      </c>
      <c r="F25" s="67">
        <f t="shared" si="8"/>
        <v>7020.4607193890188</v>
      </c>
      <c r="G25" s="67">
        <f t="shared" si="8"/>
        <v>4644.0957554510323</v>
      </c>
      <c r="H25" s="67">
        <f t="shared" si="8"/>
        <v>6008.1874282540675</v>
      </c>
      <c r="I25" s="67">
        <f t="shared" si="8"/>
        <v>6698.187271229147</v>
      </c>
      <c r="J25" s="67">
        <f t="shared" si="8"/>
        <v>5551.8245056400847</v>
      </c>
      <c r="K25" s="67">
        <f t="shared" si="8"/>
        <v>8071.3702242729178</v>
      </c>
      <c r="L25" s="67">
        <f t="shared" si="8"/>
        <v>10576.373286258891</v>
      </c>
      <c r="M25" s="67">
        <f t="shared" si="8"/>
        <v>9920.0091074455795</v>
      </c>
      <c r="N25" s="67">
        <f t="shared" si="8"/>
        <v>10161.285587839311</v>
      </c>
      <c r="O25" s="67">
        <f t="shared" si="8"/>
        <v>85000.000000000015</v>
      </c>
      <c r="P25" s="67">
        <f>SUM(P23:P24)</f>
        <v>94500.000000000015</v>
      </c>
      <c r="Q25" s="80">
        <f>SUM(Q23:Q23)</f>
        <v>95000</v>
      </c>
      <c r="R25" s="146"/>
    </row>
    <row r="26" spans="1:18" x14ac:dyDescent="0.3">
      <c r="A26" s="175"/>
      <c r="B26" s="129" t="s">
        <v>69</v>
      </c>
      <c r="C26" s="153">
        <f t="shared" ref="C26:P26" si="9">SUM(C6-C25)</f>
        <v>4191.9908925544205</v>
      </c>
      <c r="D26" s="83">
        <f t="shared" si="9"/>
        <v>5941.2645762517168</v>
      </c>
      <c r="E26" s="83">
        <f t="shared" si="9"/>
        <v>4866.5384169738991</v>
      </c>
      <c r="F26" s="83">
        <f t="shared" si="9"/>
        <v>3359.5392806109812</v>
      </c>
      <c r="G26" s="83">
        <f t="shared" si="9"/>
        <v>3503.9042445489677</v>
      </c>
      <c r="H26" s="83">
        <f t="shared" si="9"/>
        <v>3423.8125717459325</v>
      </c>
      <c r="I26" s="83">
        <f t="shared" si="9"/>
        <v>2469.812728770853</v>
      </c>
      <c r="J26" s="83">
        <f t="shared" si="9"/>
        <v>5080.1754943599153</v>
      </c>
      <c r="K26" s="83">
        <f t="shared" si="9"/>
        <v>3004.6297757270822</v>
      </c>
      <c r="L26" s="83">
        <f t="shared" si="9"/>
        <v>5647.6267137411087</v>
      </c>
      <c r="M26" s="83">
        <f t="shared" si="9"/>
        <v>5391.9908925544205</v>
      </c>
      <c r="N26" s="83">
        <f t="shared" si="9"/>
        <v>3818.5944121606917</v>
      </c>
      <c r="O26" s="83">
        <f t="shared" si="9"/>
        <v>-85000.000000000015</v>
      </c>
      <c r="P26" s="83">
        <f t="shared" si="9"/>
        <v>50699.87999999999</v>
      </c>
      <c r="Q26" s="138">
        <v>718205.2</v>
      </c>
      <c r="R26" s="146"/>
    </row>
    <row r="27" spans="1:18" x14ac:dyDescent="0.3">
      <c r="A27" s="175"/>
      <c r="B27" s="154" t="s">
        <v>70</v>
      </c>
      <c r="C27" s="85">
        <f t="shared" ref="C27:O27" si="10">SUM(C6-C25)/C6</f>
        <v>0.27377161001530959</v>
      </c>
      <c r="D27" s="85">
        <f t="shared" si="10"/>
        <v>0.43354236545911534</v>
      </c>
      <c r="E27" s="85">
        <f t="shared" si="10"/>
        <v>0.41130311164417671</v>
      </c>
      <c r="F27" s="85">
        <f t="shared" si="10"/>
        <v>0.3236550366677246</v>
      </c>
      <c r="G27" s="85">
        <f t="shared" si="10"/>
        <v>0.43003243060247515</v>
      </c>
      <c r="H27" s="85">
        <f t="shared" si="10"/>
        <v>0.36299963652946698</v>
      </c>
      <c r="I27" s="85">
        <f t="shared" si="10"/>
        <v>0.26939493114865326</v>
      </c>
      <c r="J27" s="85">
        <f t="shared" si="10"/>
        <v>0.47781936553422832</v>
      </c>
      <c r="K27" s="85">
        <f t="shared" si="10"/>
        <v>0.27127390535636353</v>
      </c>
      <c r="L27" s="85">
        <f t="shared" si="10"/>
        <v>0.34810322446629122</v>
      </c>
      <c r="M27" s="85">
        <f t="shared" si="10"/>
        <v>0.35214151597142246</v>
      </c>
      <c r="N27" s="85">
        <f t="shared" si="10"/>
        <v>0.27314929828873286</v>
      </c>
      <c r="O27" s="85" t="e">
        <f t="shared" si="10"/>
        <v>#DIV/0!</v>
      </c>
      <c r="P27" s="85">
        <f>SUM(P6-P25)/P6</f>
        <v>0.34917301584546756</v>
      </c>
      <c r="Q27" s="124">
        <v>0.31181100149669538</v>
      </c>
      <c r="R27" s="146"/>
    </row>
    <row r="28" spans="1:18" x14ac:dyDescent="0.3">
      <c r="A28" s="175"/>
      <c r="B28" s="47"/>
      <c r="C28" s="23"/>
      <c r="D28" s="23"/>
      <c r="E28" s="23"/>
      <c r="F28" s="23"/>
      <c r="G28" s="23"/>
      <c r="H28" s="23"/>
      <c r="I28" s="23"/>
      <c r="J28" s="23"/>
      <c r="K28" s="23"/>
      <c r="L28" s="23"/>
      <c r="M28" s="23"/>
      <c r="N28" s="23"/>
      <c r="O28" s="23"/>
      <c r="P28" s="24"/>
      <c r="Q28" s="24"/>
      <c r="R28" s="146"/>
    </row>
    <row r="29" spans="1:18" x14ac:dyDescent="0.3">
      <c r="A29" s="175"/>
      <c r="B29" s="167" t="s">
        <v>116</v>
      </c>
      <c r="C29" s="9"/>
      <c r="D29" s="5"/>
      <c r="E29" s="5"/>
      <c r="F29" s="5"/>
      <c r="G29" s="5"/>
      <c r="H29" s="6"/>
      <c r="I29" s="6"/>
      <c r="J29" s="6"/>
      <c r="K29" s="6"/>
      <c r="L29" s="6"/>
      <c r="M29" s="6"/>
      <c r="N29" s="6"/>
      <c r="O29" s="7"/>
      <c r="P29" s="8"/>
      <c r="Q29" s="8"/>
      <c r="R29" s="146"/>
    </row>
    <row r="30" spans="1:18" x14ac:dyDescent="0.3">
      <c r="A30" s="175">
        <v>5310</v>
      </c>
      <c r="B30" s="168" t="s">
        <v>118</v>
      </c>
      <c r="C30" s="142">
        <v>3492.0690017099187</v>
      </c>
      <c r="D30" s="142">
        <v>3901.8214064639719</v>
      </c>
      <c r="E30" s="142">
        <v>2645.0435083004199</v>
      </c>
      <c r="F30" s="142">
        <v>3015.0438140857964</v>
      </c>
      <c r="G30" s="142">
        <v>3015.0438140857964</v>
      </c>
      <c r="H30" s="142">
        <v>2336.2002778514693</v>
      </c>
      <c r="I30" s="142">
        <v>2403.4730607215374</v>
      </c>
      <c r="J30" s="142">
        <v>2822.3990267760551</v>
      </c>
      <c r="K30" s="142">
        <v>2709.2584374036674</v>
      </c>
      <c r="L30" s="142">
        <v>3501.8214064639701</v>
      </c>
      <c r="M30" s="142">
        <v>4134.218292742391</v>
      </c>
      <c r="N30" s="142">
        <v>3023</v>
      </c>
      <c r="O30" s="76">
        <f>SUM(C30:N30)</f>
        <v>36999.392046604997</v>
      </c>
      <c r="P30" s="64">
        <f t="shared" ref="P30" si="11">SUM(C30:N30)</f>
        <v>36999.392046604997</v>
      </c>
      <c r="Q30" s="135">
        <v>37000</v>
      </c>
      <c r="R30" s="155"/>
    </row>
    <row r="31" spans="1:18" x14ac:dyDescent="0.3">
      <c r="A31" s="175">
        <v>5320</v>
      </c>
      <c r="B31" s="145" t="s">
        <v>119</v>
      </c>
      <c r="C31" s="143">
        <f t="shared" ref="C31:N32" si="12">(C$7/$Q$7)*$Q31</f>
        <v>5140.702430332587</v>
      </c>
      <c r="D31" s="143">
        <f t="shared" si="12"/>
        <v>4600.8480998744626</v>
      </c>
      <c r="E31" s="143">
        <f t="shared" si="12"/>
        <v>3972.3609688933625</v>
      </c>
      <c r="F31" s="143">
        <f t="shared" si="12"/>
        <v>3484.8805660169969</v>
      </c>
      <c r="G31" s="143">
        <f t="shared" si="12"/>
        <v>2735.530525231839</v>
      </c>
      <c r="H31" s="143">
        <f t="shared" si="12"/>
        <v>3166.6082368663115</v>
      </c>
      <c r="I31" s="143">
        <f t="shared" si="12"/>
        <v>3077.9754363433358</v>
      </c>
      <c r="J31" s="143">
        <f t="shared" si="12"/>
        <v>3569.484602879837</v>
      </c>
      <c r="K31" s="143">
        <f t="shared" si="12"/>
        <v>3718.5488583048414</v>
      </c>
      <c r="L31" s="143">
        <f t="shared" si="12"/>
        <v>5446.888468502867</v>
      </c>
      <c r="M31" s="143">
        <f t="shared" si="12"/>
        <v>5140.702430332587</v>
      </c>
      <c r="N31" s="143">
        <f t="shared" si="12"/>
        <v>4693.4693764209715</v>
      </c>
      <c r="O31" s="76">
        <v>48500</v>
      </c>
      <c r="P31" s="64">
        <f>SUM(C31:N31)</f>
        <v>48748.000000000007</v>
      </c>
      <c r="Q31" s="135">
        <v>48748</v>
      </c>
      <c r="R31" s="146"/>
    </row>
    <row r="32" spans="1:18" x14ac:dyDescent="0.3">
      <c r="A32" s="175">
        <v>5330</v>
      </c>
      <c r="B32" s="86" t="s">
        <v>117</v>
      </c>
      <c r="C32" s="166">
        <f t="shared" si="12"/>
        <v>1898.1833869284187</v>
      </c>
      <c r="D32" s="143">
        <f t="shared" si="12"/>
        <v>1698.8443792102307</v>
      </c>
      <c r="E32" s="143">
        <f t="shared" si="12"/>
        <v>1466.7780717174146</v>
      </c>
      <c r="F32" s="143">
        <f t="shared" si="12"/>
        <v>1286.7779229569612</v>
      </c>
      <c r="G32" s="143">
        <f t="shared" si="12"/>
        <v>1010.0834794078341</v>
      </c>
      <c r="H32" s="143">
        <f t="shared" si="12"/>
        <v>1169.2571646753427</v>
      </c>
      <c r="I32" s="143">
        <f t="shared" si="12"/>
        <v>1136.5298649007148</v>
      </c>
      <c r="J32" s="143">
        <f t="shared" si="12"/>
        <v>1318.0176181963786</v>
      </c>
      <c r="K32" s="143">
        <f t="shared" si="12"/>
        <v>1373.0589859991619</v>
      </c>
      <c r="L32" s="143">
        <f t="shared" si="12"/>
        <v>2011.2413316044062</v>
      </c>
      <c r="M32" s="143">
        <f t="shared" si="12"/>
        <v>1898.1833869284187</v>
      </c>
      <c r="N32" s="143">
        <f t="shared" si="12"/>
        <v>1733.0444074747168</v>
      </c>
      <c r="O32" s="76">
        <v>18000</v>
      </c>
      <c r="P32" s="64">
        <f>SUM(C32:N32)</f>
        <v>17999.999999999996</v>
      </c>
      <c r="Q32" s="135">
        <v>18000</v>
      </c>
      <c r="R32" s="146"/>
    </row>
    <row r="33" spans="1:18" x14ac:dyDescent="0.3">
      <c r="A33" s="175"/>
      <c r="B33" s="101" t="s">
        <v>120</v>
      </c>
      <c r="C33" s="66">
        <f t="shared" ref="C33:N33" si="13">SUM(C30:C31)</f>
        <v>8632.7714320425057</v>
      </c>
      <c r="D33" s="67">
        <f t="shared" si="13"/>
        <v>8502.6695063384341</v>
      </c>
      <c r="E33" s="67">
        <f t="shared" si="13"/>
        <v>6617.4044771937824</v>
      </c>
      <c r="F33" s="67">
        <f t="shared" si="13"/>
        <v>6499.9243801027933</v>
      </c>
      <c r="G33" s="67">
        <f t="shared" si="13"/>
        <v>5750.5743393176353</v>
      </c>
      <c r="H33" s="67">
        <f t="shared" si="13"/>
        <v>5502.8085147177808</v>
      </c>
      <c r="I33" s="67">
        <f t="shared" si="13"/>
        <v>5481.4484970648737</v>
      </c>
      <c r="J33" s="67">
        <f t="shared" si="13"/>
        <v>6391.883629655892</v>
      </c>
      <c r="K33" s="67">
        <f t="shared" si="13"/>
        <v>6427.8072957085087</v>
      </c>
      <c r="L33" s="67">
        <f t="shared" si="13"/>
        <v>8948.7098749668367</v>
      </c>
      <c r="M33" s="67">
        <f t="shared" si="13"/>
        <v>9274.920723074978</v>
      </c>
      <c r="N33" s="67">
        <f t="shared" si="13"/>
        <v>7716.4693764209715</v>
      </c>
      <c r="O33" s="163"/>
      <c r="P33" s="69">
        <f>SUM(P30:P32)</f>
        <v>103747.392046605</v>
      </c>
      <c r="Q33" s="136">
        <v>173206.2</v>
      </c>
      <c r="R33" s="146"/>
    </row>
    <row r="34" spans="1:18" x14ac:dyDescent="0.3">
      <c r="A34" s="175"/>
      <c r="B34" s="129" t="s">
        <v>69</v>
      </c>
      <c r="C34" s="83">
        <f t="shared" ref="C34:P34" si="14">SUM(C7-C33)</f>
        <v>2851.2285679574943</v>
      </c>
      <c r="D34" s="83">
        <f t="shared" si="14"/>
        <v>1775.3304936615659</v>
      </c>
      <c r="E34" s="83">
        <f t="shared" si="14"/>
        <v>2256.5955228062176</v>
      </c>
      <c r="F34" s="83">
        <f t="shared" si="14"/>
        <v>1285.0756198972076</v>
      </c>
      <c r="G34" s="83">
        <f t="shared" si="14"/>
        <v>360.42566068236465</v>
      </c>
      <c r="H34" s="83">
        <f t="shared" si="14"/>
        <v>1571.1914852822192</v>
      </c>
      <c r="I34" s="83">
        <f t="shared" si="14"/>
        <v>1394.5515029351263</v>
      </c>
      <c r="J34" s="83">
        <f t="shared" si="14"/>
        <v>1582.116370344108</v>
      </c>
      <c r="K34" s="83">
        <f t="shared" si="14"/>
        <v>1879.1927042914913</v>
      </c>
      <c r="L34" s="83">
        <f t="shared" si="14"/>
        <v>3219.2901250331633</v>
      </c>
      <c r="M34" s="83">
        <f t="shared" si="14"/>
        <v>2209.079276925022</v>
      </c>
      <c r="N34" s="83">
        <f t="shared" si="14"/>
        <v>2768.4406235790284</v>
      </c>
      <c r="O34" s="83">
        <f t="shared" si="14"/>
        <v>0</v>
      </c>
      <c r="P34" s="83">
        <f t="shared" si="14"/>
        <v>5152.5179533949995</v>
      </c>
      <c r="Q34" s="138">
        <v>544999</v>
      </c>
      <c r="R34" s="146"/>
    </row>
    <row r="35" spans="1:18" x14ac:dyDescent="0.3">
      <c r="A35" s="175"/>
      <c r="B35" s="130" t="s">
        <v>70</v>
      </c>
      <c r="C35" s="128">
        <f t="shared" ref="C35:P35" si="15">SUM(C7-C33)/C7</f>
        <v>0.2482783497002346</v>
      </c>
      <c r="D35" s="128">
        <f t="shared" si="15"/>
        <v>0.17273112411573904</v>
      </c>
      <c r="E35" s="128">
        <f t="shared" si="15"/>
        <v>0.2542929369851496</v>
      </c>
      <c r="F35" s="128">
        <f t="shared" si="15"/>
        <v>0.16507072831049549</v>
      </c>
      <c r="G35" s="128">
        <f t="shared" si="15"/>
        <v>5.8979816835602134E-2</v>
      </c>
      <c r="H35" s="128">
        <f t="shared" si="15"/>
        <v>0.22210792836898774</v>
      </c>
      <c r="I35" s="128">
        <f t="shared" si="15"/>
        <v>0.20281435470260709</v>
      </c>
      <c r="J35" s="128">
        <f t="shared" si="15"/>
        <v>0.19840937676750789</v>
      </c>
      <c r="K35" s="128">
        <f t="shared" si="15"/>
        <v>0.22621797331064059</v>
      </c>
      <c r="L35" s="128">
        <f t="shared" si="15"/>
        <v>0.26457019436498713</v>
      </c>
      <c r="M35" s="128">
        <f t="shared" si="15"/>
        <v>0.19236148353579083</v>
      </c>
      <c r="N35" s="128">
        <f t="shared" si="15"/>
        <v>0.26404047565301259</v>
      </c>
      <c r="O35" s="128" t="e">
        <f t="shared" si="15"/>
        <v>#DIV/0!</v>
      </c>
      <c r="P35" s="128">
        <f t="shared" si="15"/>
        <v>4.7314253550760507E-2</v>
      </c>
      <c r="Q35" s="124">
        <v>4.5695079086842186E-2</v>
      </c>
      <c r="R35" s="146"/>
    </row>
    <row r="36" spans="1:18" x14ac:dyDescent="0.3">
      <c r="A36" s="175"/>
      <c r="B36" s="47"/>
      <c r="C36" s="23"/>
      <c r="D36" s="23"/>
      <c r="E36" s="23"/>
      <c r="F36" s="23"/>
      <c r="G36" s="23"/>
      <c r="H36" s="23"/>
      <c r="I36" s="23"/>
      <c r="J36" s="23"/>
      <c r="K36" s="23"/>
      <c r="L36" s="23"/>
      <c r="M36" s="23"/>
      <c r="N36" s="23"/>
      <c r="O36" s="23"/>
      <c r="P36" s="24"/>
      <c r="Q36" s="24"/>
      <c r="R36" s="146"/>
    </row>
    <row r="37" spans="1:18" x14ac:dyDescent="0.3">
      <c r="A37" s="175"/>
      <c r="B37" s="101" t="s">
        <v>121</v>
      </c>
      <c r="C37" s="9"/>
      <c r="D37" s="5"/>
      <c r="E37" s="5"/>
      <c r="F37" s="5"/>
      <c r="G37" s="5"/>
      <c r="H37" s="6"/>
      <c r="I37" s="6"/>
      <c r="J37" s="6"/>
      <c r="K37" s="6"/>
      <c r="L37" s="6"/>
      <c r="M37" s="6"/>
      <c r="N37" s="6"/>
      <c r="O37" s="7"/>
      <c r="P37" s="8"/>
      <c r="Q37" s="8"/>
      <c r="R37" s="146"/>
    </row>
    <row r="38" spans="1:18" x14ac:dyDescent="0.3">
      <c r="A38" s="175">
        <v>5410</v>
      </c>
      <c r="B38" s="126" t="s">
        <v>118</v>
      </c>
      <c r="C38" s="143">
        <v>2599.8147337782329</v>
      </c>
      <c r="D38" s="143">
        <v>2692.2477582503134</v>
      </c>
      <c r="E38" s="143">
        <v>2391.855481800852</v>
      </c>
      <c r="F38" s="143">
        <v>2497.3634386344556</v>
      </c>
      <c r="G38" s="143">
        <v>2320.985558565927</v>
      </c>
      <c r="H38" s="143">
        <v>2222.7508981170959</v>
      </c>
      <c r="I38" s="143">
        <v>2432.0596148729514</v>
      </c>
      <c r="J38" s="143">
        <v>2373.4074836415684</v>
      </c>
      <c r="K38" s="143">
        <v>2661.5146719436784</v>
      </c>
      <c r="L38" s="143">
        <v>2514.6461509351616</v>
      </c>
      <c r="M38" s="143">
        <v>2638.5666869049919</v>
      </c>
      <c r="N38" s="143">
        <v>2654.8771470227803</v>
      </c>
      <c r="O38" s="76"/>
      <c r="P38" s="64">
        <f>SUM(C38:N38)</f>
        <v>30000.089624468008</v>
      </c>
      <c r="Q38" s="135">
        <v>30000</v>
      </c>
      <c r="R38" s="146"/>
    </row>
    <row r="39" spans="1:18" x14ac:dyDescent="0.3">
      <c r="A39" s="175">
        <v>5420</v>
      </c>
      <c r="B39" s="126" t="s">
        <v>119</v>
      </c>
      <c r="C39" s="143">
        <f t="shared" ref="C39:N43" si="16">(C$8/$Q$8)*$Q39</f>
        <v>8.6776606489863253E-2</v>
      </c>
      <c r="D39" s="143">
        <f t="shared" si="16"/>
        <v>8.6776606489863253E-2</v>
      </c>
      <c r="E39" s="143">
        <f t="shared" si="16"/>
        <v>7789.3515507145821</v>
      </c>
      <c r="F39" s="143">
        <f t="shared" si="16"/>
        <v>8.6776606489863253E-2</v>
      </c>
      <c r="G39" s="143">
        <f t="shared" si="16"/>
        <v>8.6776606489863253E-2</v>
      </c>
      <c r="H39" s="143">
        <f t="shared" si="16"/>
        <v>6935.5759999234988</v>
      </c>
      <c r="I39" s="143">
        <f t="shared" si="16"/>
        <v>8.6776606489863253E-2</v>
      </c>
      <c r="J39" s="143">
        <f t="shared" si="16"/>
        <v>8.6776606489863253E-2</v>
      </c>
      <c r="K39" s="143">
        <f t="shared" si="16"/>
        <v>7320.0494952081781</v>
      </c>
      <c r="L39" s="143">
        <f t="shared" si="16"/>
        <v>2661.5146719436784</v>
      </c>
      <c r="M39" s="143">
        <f t="shared" si="16"/>
        <v>2654.8771470227803</v>
      </c>
      <c r="N39" s="143">
        <f t="shared" si="16"/>
        <v>2638.5666869049919</v>
      </c>
      <c r="O39" s="76">
        <v>30000</v>
      </c>
      <c r="P39" s="64">
        <f>SUM(C39:N39)</f>
        <v>30000.45621135665</v>
      </c>
      <c r="Q39" s="135">
        <v>30000</v>
      </c>
      <c r="R39" s="146"/>
    </row>
    <row r="40" spans="1:18" x14ac:dyDescent="0.3">
      <c r="A40" s="175">
        <v>5430</v>
      </c>
      <c r="B40" s="126" t="s">
        <v>85</v>
      </c>
      <c r="C40" s="143">
        <f>(C$8/$Q$8)*$Q40</f>
        <v>2.4297449817161709E-2</v>
      </c>
      <c r="D40" s="143">
        <f t="shared" si="16"/>
        <v>2.4297449817161709E-2</v>
      </c>
      <c r="E40" s="143">
        <f t="shared" si="16"/>
        <v>2181.018434200083</v>
      </c>
      <c r="F40" s="143">
        <f t="shared" si="16"/>
        <v>2.4297449817161709E-2</v>
      </c>
      <c r="G40" s="143">
        <f t="shared" si="16"/>
        <v>2.4297449817161709E-2</v>
      </c>
      <c r="H40" s="143">
        <f t="shared" si="16"/>
        <v>1941.9612799785796</v>
      </c>
      <c r="I40" s="143">
        <f t="shared" si="16"/>
        <v>2.4297449817161709E-2</v>
      </c>
      <c r="J40" s="143">
        <f t="shared" si="16"/>
        <v>2.4297449817161709E-2</v>
      </c>
      <c r="K40" s="143">
        <f t="shared" si="16"/>
        <v>2049.6138586582902</v>
      </c>
      <c r="L40" s="143">
        <f t="shared" si="16"/>
        <v>745.22410814422994</v>
      </c>
      <c r="M40" s="143">
        <f t="shared" si="16"/>
        <v>743.3656011663785</v>
      </c>
      <c r="N40" s="143">
        <f t="shared" si="16"/>
        <v>738.79867233339769</v>
      </c>
      <c r="O40" s="76">
        <f>SUM(C40:N40)</f>
        <v>8400.1277391798612</v>
      </c>
      <c r="P40" s="64">
        <f t="shared" ref="P40:P43" si="17">SUM(C40:N40)</f>
        <v>8400.1277391798612</v>
      </c>
      <c r="Q40" s="135">
        <v>8400</v>
      </c>
      <c r="R40" s="146"/>
    </row>
    <row r="41" spans="1:18" x14ac:dyDescent="0.3">
      <c r="A41" s="175">
        <v>5440</v>
      </c>
      <c r="B41" s="126" t="s">
        <v>86</v>
      </c>
      <c r="C41" s="143">
        <f t="shared" ref="C41:C43" si="18">(C$8/$Q$8)*$Q41</f>
        <v>6.0743624542904271E-3</v>
      </c>
      <c r="D41" s="143">
        <f t="shared" si="16"/>
        <v>6.0743624542904271E-3</v>
      </c>
      <c r="E41" s="143">
        <f t="shared" si="16"/>
        <v>545.25460855002075</v>
      </c>
      <c r="F41" s="143">
        <f t="shared" si="16"/>
        <v>6.0743624542904271E-3</v>
      </c>
      <c r="G41" s="143">
        <f t="shared" si="16"/>
        <v>6.0743624542904271E-3</v>
      </c>
      <c r="H41" s="143">
        <f t="shared" si="16"/>
        <v>485.49031999464489</v>
      </c>
      <c r="I41" s="143">
        <f t="shared" si="16"/>
        <v>6.0743624542904271E-3</v>
      </c>
      <c r="J41" s="143">
        <f t="shared" si="16"/>
        <v>6.0743624542904271E-3</v>
      </c>
      <c r="K41" s="143">
        <f t="shared" si="16"/>
        <v>512.40346466457254</v>
      </c>
      <c r="L41" s="143">
        <f t="shared" si="16"/>
        <v>186.30602703605749</v>
      </c>
      <c r="M41" s="143">
        <f t="shared" si="16"/>
        <v>185.84140029159462</v>
      </c>
      <c r="N41" s="143">
        <f t="shared" si="16"/>
        <v>184.69966808334942</v>
      </c>
      <c r="O41" s="76">
        <f>SUM(C41:N41)</f>
        <v>2100.0319347949653</v>
      </c>
      <c r="P41" s="64">
        <f t="shared" si="17"/>
        <v>2100.0319347949653</v>
      </c>
      <c r="Q41" s="135">
        <v>2100</v>
      </c>
      <c r="R41" s="146"/>
    </row>
    <row r="42" spans="1:18" x14ac:dyDescent="0.3">
      <c r="A42" s="175">
        <v>5450</v>
      </c>
      <c r="B42" s="126" t="s">
        <v>87</v>
      </c>
      <c r="C42" s="143">
        <f t="shared" si="18"/>
        <v>6.2189901317735328E-3</v>
      </c>
      <c r="D42" s="143">
        <f t="shared" si="16"/>
        <v>6.2189901317735328E-3</v>
      </c>
      <c r="E42" s="143">
        <f t="shared" si="16"/>
        <v>558.23686113454505</v>
      </c>
      <c r="F42" s="143">
        <f t="shared" si="16"/>
        <v>6.2189901317735328E-3</v>
      </c>
      <c r="G42" s="143">
        <f t="shared" si="16"/>
        <v>6.2189901317735328E-3</v>
      </c>
      <c r="H42" s="143">
        <f t="shared" si="16"/>
        <v>497.04961332785069</v>
      </c>
      <c r="I42" s="143">
        <f t="shared" si="16"/>
        <v>6.2189901317735328E-3</v>
      </c>
      <c r="J42" s="143">
        <f t="shared" si="16"/>
        <v>6.2189901317735328E-3</v>
      </c>
      <c r="K42" s="143">
        <f t="shared" si="16"/>
        <v>524.60354715658616</v>
      </c>
      <c r="L42" s="143">
        <f t="shared" si="16"/>
        <v>190.74188482263028</v>
      </c>
      <c r="M42" s="143">
        <f t="shared" si="16"/>
        <v>190.26619553663258</v>
      </c>
      <c r="N42" s="143">
        <f t="shared" si="16"/>
        <v>189.0972792281911</v>
      </c>
      <c r="O42" s="76"/>
      <c r="P42" s="64">
        <f t="shared" si="17"/>
        <v>2150.0326951472261</v>
      </c>
      <c r="Q42" s="135">
        <v>2150</v>
      </c>
      <c r="R42" s="146"/>
    </row>
    <row r="43" spans="1:18" x14ac:dyDescent="0.3">
      <c r="A43" s="175">
        <v>5460</v>
      </c>
      <c r="B43" s="126" t="s">
        <v>122</v>
      </c>
      <c r="C43" s="143">
        <f t="shared" si="18"/>
        <v>3.5086674557401373E-2</v>
      </c>
      <c r="D43" s="143">
        <f t="shared" si="16"/>
        <v>3.5086674557401373E-2</v>
      </c>
      <c r="E43" s="143">
        <f t="shared" si="16"/>
        <v>3149.4944770055959</v>
      </c>
      <c r="F43" s="143">
        <f t="shared" si="16"/>
        <v>3.5086674557401373E-2</v>
      </c>
      <c r="G43" s="143">
        <f t="shared" si="16"/>
        <v>3.5086674557401373E-2</v>
      </c>
      <c r="H43" s="143">
        <f t="shared" si="16"/>
        <v>2804.2845626357343</v>
      </c>
      <c r="I43" s="143">
        <f t="shared" si="16"/>
        <v>3.5086674557401373E-2</v>
      </c>
      <c r="J43" s="143">
        <f t="shared" si="16"/>
        <v>3.5086674557401373E-2</v>
      </c>
      <c r="K43" s="143">
        <f t="shared" si="16"/>
        <v>2959.7400125625068</v>
      </c>
      <c r="L43" s="143">
        <f t="shared" si="16"/>
        <v>1076.1390990225607</v>
      </c>
      <c r="M43" s="143">
        <f t="shared" si="16"/>
        <v>1073.4553264462108</v>
      </c>
      <c r="N43" s="143">
        <f t="shared" si="16"/>
        <v>1066.8604637385849</v>
      </c>
      <c r="O43" s="76"/>
      <c r="P43" s="64">
        <f t="shared" si="17"/>
        <v>12130.184461458537</v>
      </c>
      <c r="Q43" s="135">
        <v>12130</v>
      </c>
      <c r="R43" s="146"/>
    </row>
    <row r="44" spans="1:18" x14ac:dyDescent="0.3">
      <c r="A44" s="175"/>
      <c r="B44" s="131" t="s">
        <v>123</v>
      </c>
      <c r="C44" s="69">
        <f t="shared" ref="C44:O44" si="19">SUM(C38:C43)</f>
        <v>2599.973187861684</v>
      </c>
      <c r="D44" s="69">
        <f t="shared" si="19"/>
        <v>2692.4062123337644</v>
      </c>
      <c r="E44" s="69">
        <f t="shared" si="19"/>
        <v>16615.211413405679</v>
      </c>
      <c r="F44" s="69">
        <f t="shared" si="19"/>
        <v>2497.5218927179067</v>
      </c>
      <c r="G44" s="69">
        <f t="shared" si="19"/>
        <v>2321.1440126493781</v>
      </c>
      <c r="H44" s="69">
        <f t="shared" si="19"/>
        <v>14887.112673977404</v>
      </c>
      <c r="I44" s="69">
        <f t="shared" si="19"/>
        <v>2432.2180689564025</v>
      </c>
      <c r="J44" s="69">
        <f t="shared" si="19"/>
        <v>2373.5659377250195</v>
      </c>
      <c r="K44" s="69">
        <f t="shared" si="19"/>
        <v>16027.925050193811</v>
      </c>
      <c r="L44" s="69">
        <f t="shared" si="19"/>
        <v>7374.5719419043189</v>
      </c>
      <c r="M44" s="69">
        <f t="shared" si="19"/>
        <v>7486.3723573685893</v>
      </c>
      <c r="N44" s="69">
        <f t="shared" si="19"/>
        <v>7472.8999173112952</v>
      </c>
      <c r="O44" s="69">
        <f t="shared" si="19"/>
        <v>40500.159673974827</v>
      </c>
      <c r="P44" s="69">
        <f>SUM(P38:P43)</f>
        <v>84780.922666405255</v>
      </c>
      <c r="Q44" s="136">
        <v>180957</v>
      </c>
      <c r="R44" s="146"/>
    </row>
    <row r="45" spans="1:18" x14ac:dyDescent="0.3">
      <c r="A45" s="175"/>
      <c r="B45" s="82" t="s">
        <v>69</v>
      </c>
      <c r="C45" s="83">
        <f t="shared" ref="C45:P45" si="20">SUM(C8-C44)</f>
        <v>-2599.4831878616842</v>
      </c>
      <c r="D45" s="83">
        <f t="shared" si="20"/>
        <v>-2691.9162123337646</v>
      </c>
      <c r="E45" s="83">
        <f t="shared" si="20"/>
        <v>27368.788586594321</v>
      </c>
      <c r="F45" s="83">
        <f t="shared" si="20"/>
        <v>-2497.0318927179069</v>
      </c>
      <c r="G45" s="83">
        <f t="shared" si="20"/>
        <v>-2320.6540126493783</v>
      </c>
      <c r="H45" s="83">
        <f t="shared" si="20"/>
        <v>24275.887326022596</v>
      </c>
      <c r="I45" s="83">
        <f t="shared" si="20"/>
        <v>-2431.7280689564027</v>
      </c>
      <c r="J45" s="83">
        <f t="shared" si="20"/>
        <v>-2373.0759377250197</v>
      </c>
      <c r="K45" s="83">
        <f t="shared" si="20"/>
        <v>25306.074949806189</v>
      </c>
      <c r="L45" s="83">
        <f t="shared" si="20"/>
        <v>7654.1580580956806</v>
      </c>
      <c r="M45" s="83">
        <f t="shared" si="20"/>
        <v>7504.8776426314107</v>
      </c>
      <c r="N45" s="83">
        <f t="shared" si="20"/>
        <v>7426.2500826887044</v>
      </c>
      <c r="O45" s="83">
        <f t="shared" si="20"/>
        <v>-40500.159673974827</v>
      </c>
      <c r="P45" s="83">
        <f t="shared" si="20"/>
        <v>84622.147333594752</v>
      </c>
      <c r="Q45" s="138">
        <v>364042</v>
      </c>
      <c r="R45" s="146"/>
    </row>
    <row r="46" spans="1:18" x14ac:dyDescent="0.3">
      <c r="A46" s="175"/>
      <c r="B46" s="84" t="s">
        <v>70</v>
      </c>
      <c r="C46" s="310">
        <f>(C8-C44)/C8</f>
        <v>-5305.0677303299681</v>
      </c>
      <c r="D46" s="310">
        <f t="shared" ref="D46:P46" si="21">SUM(D8-D44)/D8</f>
        <v>-5493.7065557831929</v>
      </c>
      <c r="E46" s="85">
        <f t="shared" si="21"/>
        <v>0.62224419303824852</v>
      </c>
      <c r="F46" s="310">
        <f t="shared" si="21"/>
        <v>-5095.9834545263411</v>
      </c>
      <c r="G46" s="310">
        <f t="shared" si="21"/>
        <v>-4736.0285972436295</v>
      </c>
      <c r="H46" s="85">
        <f t="shared" si="21"/>
        <v>0.6198679193632407</v>
      </c>
      <c r="I46" s="310">
        <f t="shared" si="21"/>
        <v>-4962.7103448089856</v>
      </c>
      <c r="J46" s="310">
        <f t="shared" si="21"/>
        <v>-4843.0121178061627</v>
      </c>
      <c r="K46" s="85">
        <f t="shared" si="21"/>
        <v>0.6122338740457296</v>
      </c>
      <c r="L46" s="85">
        <f t="shared" si="21"/>
        <v>0.50930172130949725</v>
      </c>
      <c r="M46" s="85">
        <f t="shared" si="21"/>
        <v>0.50061720287710565</v>
      </c>
      <c r="N46" s="85">
        <f t="shared" si="21"/>
        <v>0.4984344799997788</v>
      </c>
      <c r="O46" s="85" t="e">
        <f t="shared" si="21"/>
        <v>#DIV/0!</v>
      </c>
      <c r="P46" s="85">
        <f t="shared" si="21"/>
        <v>0.49953136819536237</v>
      </c>
      <c r="Q46" s="124">
        <v>0.40179652447142694</v>
      </c>
      <c r="R46" s="146"/>
    </row>
    <row r="47" spans="1:18" x14ac:dyDescent="0.3">
      <c r="A47" s="175"/>
      <c r="B47" s="47"/>
      <c r="C47" s="24"/>
      <c r="D47" s="24"/>
      <c r="E47" s="24"/>
      <c r="F47" s="24"/>
      <c r="G47" s="24"/>
      <c r="H47" s="24"/>
      <c r="I47" s="24"/>
      <c r="J47" s="24"/>
      <c r="K47" s="24"/>
      <c r="L47" s="24"/>
      <c r="M47" s="24"/>
      <c r="N47" s="24"/>
      <c r="O47" s="24"/>
      <c r="P47" s="24"/>
      <c r="Q47" s="24"/>
      <c r="R47" s="146"/>
    </row>
    <row r="48" spans="1:18" x14ac:dyDescent="0.3">
      <c r="A48" s="175"/>
      <c r="B48" s="127" t="s">
        <v>124</v>
      </c>
      <c r="C48" s="164">
        <f t="shared" ref="C48:P48" si="22">SUM(C18,C25,C33,C44)</f>
        <v>79785.723484349568</v>
      </c>
      <c r="D48" s="164">
        <f t="shared" si="22"/>
        <v>170928.348338732</v>
      </c>
      <c r="E48" s="164">
        <f t="shared" si="22"/>
        <v>50058.637118716128</v>
      </c>
      <c r="F48" s="164">
        <f t="shared" si="22"/>
        <v>33815.765098704025</v>
      </c>
      <c r="G48" s="164">
        <f t="shared" si="22"/>
        <v>26529.828003297298</v>
      </c>
      <c r="H48" s="164">
        <f t="shared" si="22"/>
        <v>42388.999518511977</v>
      </c>
      <c r="I48" s="164">
        <f t="shared" si="22"/>
        <v>31751.107745724727</v>
      </c>
      <c r="J48" s="164">
        <f t="shared" si="22"/>
        <v>54904.387869809267</v>
      </c>
      <c r="K48" s="164">
        <f t="shared" si="22"/>
        <v>71788.828342675886</v>
      </c>
      <c r="L48" s="164">
        <f t="shared" si="22"/>
        <v>87071.422431863379</v>
      </c>
      <c r="M48" s="164">
        <f t="shared" si="22"/>
        <v>85414.27194488894</v>
      </c>
      <c r="N48" s="164">
        <f t="shared" si="22"/>
        <v>78061.200534915086</v>
      </c>
      <c r="O48" s="164">
        <f t="shared" si="22"/>
        <v>738970.15967397485</v>
      </c>
      <c r="P48" s="164">
        <f t="shared" si="22"/>
        <v>830498.52043218818</v>
      </c>
      <c r="Q48" s="140">
        <v>845958</v>
      </c>
      <c r="R48" s="149"/>
    </row>
    <row r="49" spans="1:18" x14ac:dyDescent="0.3">
      <c r="A49" s="175"/>
      <c r="B49" s="132" t="s">
        <v>125</v>
      </c>
      <c r="C49" s="165">
        <f t="shared" ref="C49:P49" si="23">SUM(C9-C48)</f>
        <v>29950.766515650437</v>
      </c>
      <c r="D49" s="165">
        <f t="shared" si="23"/>
        <v>-72715.858338731996</v>
      </c>
      <c r="E49" s="165">
        <f t="shared" si="23"/>
        <v>78721.362881283872</v>
      </c>
      <c r="F49" s="165">
        <f t="shared" si="23"/>
        <v>40574.72490129598</v>
      </c>
      <c r="G49" s="165">
        <f t="shared" si="23"/>
        <v>31864.6619967027</v>
      </c>
      <c r="H49" s="165">
        <f t="shared" si="23"/>
        <v>64370.000481488023</v>
      </c>
      <c r="I49" s="165">
        <f t="shared" si="23"/>
        <v>33953.382254275275</v>
      </c>
      <c r="J49" s="165">
        <f t="shared" si="23"/>
        <v>21292.102130190739</v>
      </c>
      <c r="K49" s="165">
        <f t="shared" si="23"/>
        <v>48923.171657324114</v>
      </c>
      <c r="L49" s="165">
        <f t="shared" si="23"/>
        <v>44229.307568136632</v>
      </c>
      <c r="M49" s="165">
        <f t="shared" si="23"/>
        <v>39312.97805511106</v>
      </c>
      <c r="N49" s="165">
        <f t="shared" si="23"/>
        <v>37027.089465084922</v>
      </c>
      <c r="O49" s="165">
        <f t="shared" si="23"/>
        <v>-738970.15967397485</v>
      </c>
      <c r="P49" s="165">
        <f t="shared" si="23"/>
        <v>379503.68956781179</v>
      </c>
      <c r="Q49" s="144">
        <v>364042</v>
      </c>
      <c r="R49" s="149"/>
    </row>
    <row r="50" spans="1:18" x14ac:dyDescent="0.3">
      <c r="A50" s="175"/>
      <c r="B50" s="130" t="s">
        <v>126</v>
      </c>
      <c r="C50" s="133">
        <f t="shared" ref="C50:Q50" si="24">C49/C9</f>
        <v>0.27293352025065171</v>
      </c>
      <c r="D50" s="133">
        <f t="shared" si="24"/>
        <v>-0.74039318561958867</v>
      </c>
      <c r="E50" s="133">
        <f t="shared" si="24"/>
        <v>0.61128562572824874</v>
      </c>
      <c r="F50" s="133">
        <f t="shared" si="24"/>
        <v>0.54542892379517838</v>
      </c>
      <c r="G50" s="133">
        <f t="shared" si="24"/>
        <v>0.54567925838041742</v>
      </c>
      <c r="H50" s="133">
        <f t="shared" si="24"/>
        <v>0.60294682866538674</v>
      </c>
      <c r="I50" s="133">
        <f t="shared" si="24"/>
        <v>0.51675893465233913</v>
      </c>
      <c r="J50" s="133">
        <f t="shared" si="24"/>
        <v>0.27943678416408335</v>
      </c>
      <c r="K50" s="133">
        <f t="shared" si="24"/>
        <v>0.40528838605378187</v>
      </c>
      <c r="L50" s="133">
        <f t="shared" si="24"/>
        <v>0.33685500124893919</v>
      </c>
      <c r="M50" s="133">
        <f t="shared" si="24"/>
        <v>0.31519157245197871</v>
      </c>
      <c r="N50" s="133">
        <f t="shared" si="24"/>
        <v>0.32172768806526642</v>
      </c>
      <c r="O50" s="133" t="e">
        <f t="shared" si="24"/>
        <v>#DIV/0!</v>
      </c>
      <c r="P50" s="133">
        <f t="shared" si="24"/>
        <v>0.31363884002146725</v>
      </c>
      <c r="Q50" s="133">
        <f t="shared" si="24"/>
        <v>0.30086115702479338</v>
      </c>
      <c r="R50" s="149"/>
    </row>
    <row r="51" spans="1:18" x14ac:dyDescent="0.3">
      <c r="A51" s="175"/>
      <c r="B51" s="47"/>
      <c r="C51" s="23"/>
      <c r="D51" s="23"/>
      <c r="E51" s="23"/>
      <c r="F51" s="23"/>
      <c r="G51" s="23"/>
      <c r="H51" s="23"/>
      <c r="I51" s="23"/>
      <c r="J51" s="23"/>
      <c r="K51" s="23"/>
      <c r="L51" s="23"/>
      <c r="M51" s="23"/>
      <c r="N51" s="23"/>
      <c r="O51" s="23"/>
      <c r="P51" s="24"/>
      <c r="Q51" s="24"/>
      <c r="R51" s="146"/>
    </row>
    <row r="52" spans="1:18" x14ac:dyDescent="0.3">
      <c r="A52" s="176"/>
      <c r="B52" s="65" t="s">
        <v>71</v>
      </c>
      <c r="C52" s="9"/>
      <c r="D52" s="5"/>
      <c r="E52" s="5"/>
      <c r="F52" s="5"/>
      <c r="G52" s="5"/>
      <c r="H52" s="6"/>
      <c r="I52" s="6"/>
      <c r="J52" s="6"/>
      <c r="K52" s="6"/>
      <c r="L52" s="6"/>
      <c r="M52" s="6"/>
      <c r="N52" s="6"/>
      <c r="O52" s="6"/>
      <c r="P52" s="8"/>
      <c r="Q52" s="8"/>
      <c r="R52" s="146"/>
    </row>
    <row r="53" spans="1:18" x14ac:dyDescent="0.3">
      <c r="A53" s="176">
        <v>6110</v>
      </c>
      <c r="B53" s="86" t="s">
        <v>72</v>
      </c>
      <c r="C53" s="87">
        <v>3667</v>
      </c>
      <c r="D53" s="88">
        <v>3667</v>
      </c>
      <c r="E53" s="88">
        <v>3667</v>
      </c>
      <c r="F53" s="88">
        <v>3667</v>
      </c>
      <c r="G53" s="88">
        <v>3667</v>
      </c>
      <c r="H53" s="88">
        <v>3667</v>
      </c>
      <c r="I53" s="88">
        <v>3667</v>
      </c>
      <c r="J53" s="88">
        <v>3667</v>
      </c>
      <c r="K53" s="88">
        <v>3667</v>
      </c>
      <c r="L53" s="88">
        <v>3667</v>
      </c>
      <c r="M53" s="88">
        <v>3667</v>
      </c>
      <c r="N53" s="88">
        <v>3667</v>
      </c>
      <c r="O53" s="76">
        <f t="shared" ref="O53:O70" si="25">SUM(C53:N53)</f>
        <v>44004</v>
      </c>
      <c r="P53" s="64">
        <f>SUM(C53:N53)</f>
        <v>44004</v>
      </c>
      <c r="Q53" s="135">
        <v>44004</v>
      </c>
      <c r="R53" s="149"/>
    </row>
    <row r="54" spans="1:18" x14ac:dyDescent="0.3">
      <c r="A54" s="178">
        <v>6120</v>
      </c>
      <c r="B54" s="90" t="s">
        <v>73</v>
      </c>
      <c r="C54" s="77">
        <v>910</v>
      </c>
      <c r="D54" s="77">
        <v>280</v>
      </c>
      <c r="E54" s="77">
        <v>560</v>
      </c>
      <c r="F54" s="77">
        <v>350</v>
      </c>
      <c r="G54" s="77">
        <v>280</v>
      </c>
      <c r="H54" s="77">
        <v>350</v>
      </c>
      <c r="I54" s="77">
        <v>490</v>
      </c>
      <c r="J54" s="77">
        <v>700</v>
      </c>
      <c r="K54" s="77">
        <v>420</v>
      </c>
      <c r="L54" s="77">
        <v>1190</v>
      </c>
      <c r="M54" s="77">
        <v>1120</v>
      </c>
      <c r="N54" s="77">
        <v>350</v>
      </c>
      <c r="O54" s="76">
        <f t="shared" si="25"/>
        <v>7000</v>
      </c>
      <c r="P54" s="64">
        <f t="shared" ref="P54:P70" si="26">SUM(C54:N54)</f>
        <v>7000</v>
      </c>
      <c r="Q54" s="135">
        <v>7000</v>
      </c>
      <c r="R54" s="149"/>
    </row>
    <row r="55" spans="1:18" x14ac:dyDescent="0.3">
      <c r="A55" s="176">
        <v>6130</v>
      </c>
      <c r="B55" s="91" t="s">
        <v>74</v>
      </c>
      <c r="C55" s="88">
        <v>120</v>
      </c>
      <c r="D55" s="88">
        <v>160</v>
      </c>
      <c r="E55" s="88">
        <v>230</v>
      </c>
      <c r="F55" s="88">
        <v>270</v>
      </c>
      <c r="G55" s="88">
        <v>290</v>
      </c>
      <c r="H55" s="88">
        <v>350</v>
      </c>
      <c r="I55" s="88">
        <v>470</v>
      </c>
      <c r="J55" s="88">
        <v>750</v>
      </c>
      <c r="K55" s="88">
        <v>1100</v>
      </c>
      <c r="L55" s="88">
        <v>3100</v>
      </c>
      <c r="M55" s="88">
        <v>2130</v>
      </c>
      <c r="N55" s="88">
        <v>2030</v>
      </c>
      <c r="O55" s="76">
        <f t="shared" si="25"/>
        <v>11000</v>
      </c>
      <c r="P55" s="64">
        <f t="shared" si="26"/>
        <v>11000</v>
      </c>
      <c r="Q55" s="135">
        <v>11000</v>
      </c>
      <c r="R55" s="149"/>
    </row>
    <row r="56" spans="1:18" x14ac:dyDescent="0.3">
      <c r="A56" s="178">
        <v>6140</v>
      </c>
      <c r="B56" s="180" t="s">
        <v>75</v>
      </c>
      <c r="C56" s="181">
        <v>0</v>
      </c>
      <c r="D56" s="181">
        <v>0</v>
      </c>
      <c r="E56" s="181">
        <v>0</v>
      </c>
      <c r="F56" s="181">
        <v>0</v>
      </c>
      <c r="G56" s="181">
        <v>0</v>
      </c>
      <c r="H56" s="181">
        <v>0</v>
      </c>
      <c r="I56" s="181">
        <v>0</v>
      </c>
      <c r="J56" s="181">
        <v>9751</v>
      </c>
      <c r="K56" s="181">
        <v>0</v>
      </c>
      <c r="L56" s="88">
        <v>1083</v>
      </c>
      <c r="M56" s="88">
        <v>1083</v>
      </c>
      <c r="N56" s="88">
        <v>1087</v>
      </c>
      <c r="O56" s="76">
        <f t="shared" si="25"/>
        <v>13004</v>
      </c>
      <c r="P56" s="64">
        <f t="shared" si="26"/>
        <v>13004</v>
      </c>
      <c r="Q56" s="135">
        <v>13000</v>
      </c>
      <c r="R56" s="149"/>
    </row>
    <row r="57" spans="1:18" x14ac:dyDescent="0.3">
      <c r="A57" s="176">
        <v>6150</v>
      </c>
      <c r="B57" s="91" t="s">
        <v>76</v>
      </c>
      <c r="C57" s="88">
        <v>1250</v>
      </c>
      <c r="D57" s="88">
        <v>1150</v>
      </c>
      <c r="E57" s="88">
        <v>1150</v>
      </c>
      <c r="F57" s="88">
        <v>850</v>
      </c>
      <c r="G57" s="88">
        <v>700</v>
      </c>
      <c r="H57" s="88">
        <v>1050</v>
      </c>
      <c r="I57" s="88">
        <v>1300</v>
      </c>
      <c r="J57" s="88">
        <v>1350</v>
      </c>
      <c r="K57" s="88">
        <v>1000</v>
      </c>
      <c r="L57" s="88">
        <v>900</v>
      </c>
      <c r="M57" s="88">
        <v>1100</v>
      </c>
      <c r="N57" s="88">
        <v>1200</v>
      </c>
      <c r="O57" s="76">
        <f t="shared" si="25"/>
        <v>13000</v>
      </c>
      <c r="P57" s="64">
        <f t="shared" si="26"/>
        <v>13000</v>
      </c>
      <c r="Q57" s="135">
        <v>13000</v>
      </c>
      <c r="R57" s="149"/>
    </row>
    <row r="58" spans="1:18" x14ac:dyDescent="0.3">
      <c r="A58" s="178">
        <v>6160</v>
      </c>
      <c r="B58" s="91" t="s">
        <v>77</v>
      </c>
      <c r="C58" s="88">
        <v>1200</v>
      </c>
      <c r="D58" s="88">
        <v>800</v>
      </c>
      <c r="E58" s="88">
        <v>900</v>
      </c>
      <c r="F58" s="88">
        <v>1100</v>
      </c>
      <c r="G58" s="88">
        <v>500</v>
      </c>
      <c r="H58" s="88">
        <v>1500</v>
      </c>
      <c r="I58" s="88">
        <v>1000</v>
      </c>
      <c r="J58" s="88">
        <v>1000</v>
      </c>
      <c r="K58" s="88">
        <v>700</v>
      </c>
      <c r="L58" s="88">
        <v>1300</v>
      </c>
      <c r="M58" s="88">
        <v>1100</v>
      </c>
      <c r="N58" s="88">
        <v>900</v>
      </c>
      <c r="O58" s="76">
        <f t="shared" si="25"/>
        <v>12000</v>
      </c>
      <c r="P58" s="64">
        <f t="shared" si="26"/>
        <v>12000</v>
      </c>
      <c r="Q58" s="135">
        <v>12000</v>
      </c>
      <c r="R58" s="149"/>
    </row>
    <row r="59" spans="1:18" x14ac:dyDescent="0.3">
      <c r="A59" s="176">
        <v>6170</v>
      </c>
      <c r="B59" s="276" t="s">
        <v>78</v>
      </c>
      <c r="C59" s="77">
        <v>2470</v>
      </c>
      <c r="D59" s="77">
        <v>760</v>
      </c>
      <c r="E59" s="77">
        <v>1520</v>
      </c>
      <c r="F59" s="77">
        <v>950</v>
      </c>
      <c r="G59" s="77">
        <v>760</v>
      </c>
      <c r="H59" s="77">
        <v>950</v>
      </c>
      <c r="I59" s="77">
        <v>1330</v>
      </c>
      <c r="J59" s="77">
        <v>1900</v>
      </c>
      <c r="K59" s="77">
        <v>1140</v>
      </c>
      <c r="L59" s="77">
        <v>3230</v>
      </c>
      <c r="M59" s="77">
        <v>3040</v>
      </c>
      <c r="N59" s="77">
        <v>950</v>
      </c>
      <c r="O59" s="76">
        <f t="shared" si="25"/>
        <v>19000</v>
      </c>
      <c r="P59" s="64">
        <f t="shared" si="26"/>
        <v>19000</v>
      </c>
      <c r="Q59" s="135">
        <v>19000</v>
      </c>
      <c r="R59" s="149"/>
    </row>
    <row r="60" spans="1:18" x14ac:dyDescent="0.3">
      <c r="A60" s="178">
        <v>6180</v>
      </c>
      <c r="B60" s="91" t="s">
        <v>79</v>
      </c>
      <c r="C60" s="88">
        <v>250</v>
      </c>
      <c r="D60" s="88">
        <v>250</v>
      </c>
      <c r="E60" s="88">
        <v>250</v>
      </c>
      <c r="F60" s="88">
        <v>250</v>
      </c>
      <c r="G60" s="88">
        <v>250</v>
      </c>
      <c r="H60" s="88">
        <v>250</v>
      </c>
      <c r="I60" s="88">
        <v>250</v>
      </c>
      <c r="J60" s="88">
        <v>250</v>
      </c>
      <c r="K60" s="88">
        <v>250</v>
      </c>
      <c r="L60" s="88">
        <v>250</v>
      </c>
      <c r="M60" s="88">
        <v>250</v>
      </c>
      <c r="N60" s="88">
        <v>250</v>
      </c>
      <c r="O60" s="76">
        <f t="shared" si="25"/>
        <v>3000</v>
      </c>
      <c r="P60" s="64">
        <f t="shared" si="26"/>
        <v>3000</v>
      </c>
      <c r="Q60" s="135">
        <v>3000</v>
      </c>
      <c r="R60" s="149"/>
    </row>
    <row r="61" spans="1:18" x14ac:dyDescent="0.3">
      <c r="A61" s="176">
        <v>6190</v>
      </c>
      <c r="B61" s="91" t="s">
        <v>80</v>
      </c>
      <c r="C61" s="88">
        <v>250</v>
      </c>
      <c r="D61" s="88">
        <v>250</v>
      </c>
      <c r="E61" s="88">
        <v>250</v>
      </c>
      <c r="F61" s="88">
        <v>250</v>
      </c>
      <c r="G61" s="88">
        <v>250</v>
      </c>
      <c r="H61" s="88">
        <v>250</v>
      </c>
      <c r="I61" s="88">
        <v>250</v>
      </c>
      <c r="J61" s="88">
        <v>250</v>
      </c>
      <c r="K61" s="88">
        <v>250</v>
      </c>
      <c r="L61" s="88">
        <v>250</v>
      </c>
      <c r="M61" s="88">
        <v>250</v>
      </c>
      <c r="N61" s="88">
        <v>250</v>
      </c>
      <c r="O61" s="76">
        <f t="shared" si="25"/>
        <v>3000</v>
      </c>
      <c r="P61" s="64">
        <f t="shared" si="26"/>
        <v>3000</v>
      </c>
      <c r="Q61" s="135">
        <v>3000</v>
      </c>
      <c r="R61" s="149"/>
    </row>
    <row r="62" spans="1:18" x14ac:dyDescent="0.3">
      <c r="A62" s="178">
        <v>6200</v>
      </c>
      <c r="B62" s="180" t="s">
        <v>83</v>
      </c>
      <c r="C62" s="181">
        <v>6500</v>
      </c>
      <c r="D62" s="181">
        <v>6000</v>
      </c>
      <c r="E62" s="181">
        <v>7000</v>
      </c>
      <c r="F62" s="181">
        <v>3000</v>
      </c>
      <c r="G62" s="181">
        <v>2500</v>
      </c>
      <c r="H62" s="181">
        <v>5000</v>
      </c>
      <c r="I62" s="181">
        <v>2000</v>
      </c>
      <c r="J62" s="181">
        <v>2500</v>
      </c>
      <c r="K62" s="181">
        <v>3000</v>
      </c>
      <c r="L62" s="88">
        <v>4166.666666666667</v>
      </c>
      <c r="M62" s="88">
        <v>4166.666666666667</v>
      </c>
      <c r="N62" s="88">
        <v>4166.666666666667</v>
      </c>
      <c r="O62" s="76">
        <f t="shared" si="25"/>
        <v>49999.999999999993</v>
      </c>
      <c r="P62" s="64">
        <f t="shared" si="26"/>
        <v>49999.999999999993</v>
      </c>
      <c r="Q62" s="135">
        <v>49999.999999999993</v>
      </c>
      <c r="R62" s="149"/>
    </row>
    <row r="63" spans="1:18" x14ac:dyDescent="0.3">
      <c r="A63" s="176">
        <v>6210</v>
      </c>
      <c r="B63" s="91" t="s">
        <v>84</v>
      </c>
      <c r="C63" s="88">
        <f t="shared" ref="C63:N63" si="27">SUM((C62+C39+C16+C32)*0.1049)</f>
        <v>1645.9571316806725</v>
      </c>
      <c r="D63" s="88">
        <f t="shared" si="27"/>
        <v>1551.9424284979427</v>
      </c>
      <c r="E63" s="88">
        <f t="shared" si="27"/>
        <v>2299.8256772085538</v>
      </c>
      <c r="F63" s="88">
        <f t="shared" si="27"/>
        <v>1010.5768763963292</v>
      </c>
      <c r="G63" s="88">
        <f t="shared" si="27"/>
        <v>792.0478878154297</v>
      </c>
      <c r="H63" s="88">
        <f t="shared" si="27"/>
        <v>1865.3173052641921</v>
      </c>
      <c r="I63" s="88">
        <f t="shared" si="27"/>
        <v>805.91901700644564</v>
      </c>
      <c r="J63" s="88">
        <f t="shared" si="27"/>
        <v>1005.9682164473542</v>
      </c>
      <c r="K63" s="88">
        <f t="shared" si="27"/>
        <v>1750.3069714328581</v>
      </c>
      <c r="L63" s="88">
        <f t="shared" si="27"/>
        <v>1666.2578485623956</v>
      </c>
      <c r="M63" s="88">
        <f t="shared" si="27"/>
        <v>1816.047974870675</v>
      </c>
      <c r="N63" s="88">
        <f t="shared" si="27"/>
        <v>1622.8507705101561</v>
      </c>
      <c r="O63" s="88">
        <f t="shared" ref="O63" si="28">SUM(O62*0.1059)</f>
        <v>5294.9999999999991</v>
      </c>
      <c r="P63" s="64">
        <f t="shared" si="26"/>
        <v>17833.018105693005</v>
      </c>
      <c r="Q63" s="139">
        <v>5294.9999999999991</v>
      </c>
      <c r="R63" s="149"/>
    </row>
    <row r="64" spans="1:18" x14ac:dyDescent="0.3">
      <c r="A64" s="178">
        <v>6220</v>
      </c>
      <c r="B64" s="253" t="s">
        <v>85</v>
      </c>
      <c r="C64" s="88">
        <f>$P64/12</f>
        <v>1550</v>
      </c>
      <c r="D64" s="88">
        <f t="shared" ref="D64:N64" si="29">$P64/12</f>
        <v>1550</v>
      </c>
      <c r="E64" s="88">
        <f t="shared" si="29"/>
        <v>1550</v>
      </c>
      <c r="F64" s="88">
        <f t="shared" si="29"/>
        <v>1550</v>
      </c>
      <c r="G64" s="88">
        <f t="shared" si="29"/>
        <v>1550</v>
      </c>
      <c r="H64" s="88">
        <f t="shared" si="29"/>
        <v>1550</v>
      </c>
      <c r="I64" s="88">
        <f t="shared" si="29"/>
        <v>1550</v>
      </c>
      <c r="J64" s="88">
        <f t="shared" si="29"/>
        <v>1550</v>
      </c>
      <c r="K64" s="88">
        <f t="shared" si="29"/>
        <v>1550</v>
      </c>
      <c r="L64" s="88">
        <f t="shared" si="29"/>
        <v>1550</v>
      </c>
      <c r="M64" s="88">
        <f t="shared" si="29"/>
        <v>1550</v>
      </c>
      <c r="N64" s="88">
        <f t="shared" si="29"/>
        <v>1550</v>
      </c>
      <c r="O64" s="76">
        <f t="shared" si="25"/>
        <v>18600</v>
      </c>
      <c r="P64" s="64">
        <v>18600</v>
      </c>
      <c r="Q64" s="141">
        <v>15600</v>
      </c>
      <c r="R64" s="149"/>
    </row>
    <row r="65" spans="1:18" x14ac:dyDescent="0.3">
      <c r="A65" s="176">
        <v>6230</v>
      </c>
      <c r="B65" s="86" t="s">
        <v>86</v>
      </c>
      <c r="C65" s="87">
        <v>225</v>
      </c>
      <c r="D65" s="88">
        <v>225</v>
      </c>
      <c r="E65" s="88">
        <v>225</v>
      </c>
      <c r="F65" s="88">
        <v>225</v>
      </c>
      <c r="G65" s="88">
        <v>225</v>
      </c>
      <c r="H65" s="88">
        <v>225</v>
      </c>
      <c r="I65" s="88">
        <v>225</v>
      </c>
      <c r="J65" s="88">
        <v>225</v>
      </c>
      <c r="K65" s="88">
        <v>225</v>
      </c>
      <c r="L65" s="88">
        <v>225</v>
      </c>
      <c r="M65" s="88">
        <v>225</v>
      </c>
      <c r="N65" s="88">
        <v>225</v>
      </c>
      <c r="O65" s="76">
        <f t="shared" si="25"/>
        <v>2700</v>
      </c>
      <c r="P65" s="64">
        <f t="shared" si="26"/>
        <v>2700</v>
      </c>
      <c r="Q65" s="141">
        <v>2700</v>
      </c>
      <c r="R65" s="149"/>
    </row>
    <row r="66" spans="1:18" x14ac:dyDescent="0.3">
      <c r="A66" s="176">
        <v>6240</v>
      </c>
      <c r="B66" s="86" t="s">
        <v>87</v>
      </c>
      <c r="C66" s="251" t="s">
        <v>127</v>
      </c>
      <c r="D66" s="159" t="s">
        <v>127</v>
      </c>
      <c r="E66" s="159">
        <v>1200</v>
      </c>
      <c r="F66" s="159">
        <v>450</v>
      </c>
      <c r="G66" s="159" t="s">
        <v>128</v>
      </c>
      <c r="H66" s="159">
        <v>600</v>
      </c>
      <c r="I66" s="159" t="s">
        <v>128</v>
      </c>
      <c r="J66" s="159" t="s">
        <v>128</v>
      </c>
      <c r="K66" s="159">
        <v>1600</v>
      </c>
      <c r="L66" s="159" t="s">
        <v>128</v>
      </c>
      <c r="M66" s="159">
        <v>0</v>
      </c>
      <c r="N66" s="159" t="s">
        <v>128</v>
      </c>
      <c r="O66" s="76">
        <f t="shared" si="25"/>
        <v>3850</v>
      </c>
      <c r="P66" s="64">
        <f t="shared" si="26"/>
        <v>3850</v>
      </c>
      <c r="Q66" s="141">
        <v>3850</v>
      </c>
      <c r="R66" s="149"/>
    </row>
    <row r="67" spans="1:18" x14ac:dyDescent="0.3">
      <c r="A67" s="176">
        <v>6250</v>
      </c>
      <c r="B67" s="86" t="s">
        <v>88</v>
      </c>
      <c r="C67" s="252">
        <v>910</v>
      </c>
      <c r="D67" s="160">
        <v>180</v>
      </c>
      <c r="E67" s="160">
        <v>360</v>
      </c>
      <c r="F67" s="160">
        <v>150</v>
      </c>
      <c r="G67" s="160">
        <v>250</v>
      </c>
      <c r="H67" s="160">
        <v>250</v>
      </c>
      <c r="I67" s="160">
        <v>220</v>
      </c>
      <c r="J67" s="160">
        <v>325</v>
      </c>
      <c r="K67" s="160">
        <v>130</v>
      </c>
      <c r="L67" s="160">
        <v>900</v>
      </c>
      <c r="M67" s="160">
        <v>1020</v>
      </c>
      <c r="N67" s="160">
        <v>175</v>
      </c>
      <c r="O67" s="76">
        <f t="shared" si="25"/>
        <v>4870</v>
      </c>
      <c r="P67" s="64">
        <f t="shared" si="26"/>
        <v>4870</v>
      </c>
      <c r="Q67" s="141">
        <v>4870</v>
      </c>
      <c r="R67" s="149"/>
    </row>
    <row r="68" spans="1:18" x14ac:dyDescent="0.3">
      <c r="A68" s="176">
        <v>6260</v>
      </c>
      <c r="B68" s="86" t="s">
        <v>89</v>
      </c>
      <c r="C68" s="251">
        <v>1250</v>
      </c>
      <c r="D68" s="159">
        <v>1250</v>
      </c>
      <c r="E68" s="159">
        <v>1250</v>
      </c>
      <c r="F68" s="159">
        <v>1250</v>
      </c>
      <c r="G68" s="159">
        <v>1250</v>
      </c>
      <c r="H68" s="159">
        <v>1250</v>
      </c>
      <c r="I68" s="159">
        <v>1250</v>
      </c>
      <c r="J68" s="159">
        <v>1250</v>
      </c>
      <c r="K68" s="159">
        <v>1250</v>
      </c>
      <c r="L68" s="159">
        <v>1250</v>
      </c>
      <c r="M68" s="159">
        <v>1250</v>
      </c>
      <c r="N68" s="159">
        <v>1250</v>
      </c>
      <c r="O68" s="76">
        <f t="shared" si="25"/>
        <v>15000</v>
      </c>
      <c r="P68" s="64">
        <f t="shared" si="26"/>
        <v>15000</v>
      </c>
      <c r="Q68" s="135">
        <v>15000</v>
      </c>
      <c r="R68" s="149"/>
    </row>
    <row r="69" spans="1:18" x14ac:dyDescent="0.3">
      <c r="A69" s="176">
        <v>6270</v>
      </c>
      <c r="B69" s="254" t="s">
        <v>90</v>
      </c>
      <c r="C69" s="161">
        <v>667</v>
      </c>
      <c r="D69" s="161">
        <v>667</v>
      </c>
      <c r="E69" s="161">
        <v>667</v>
      </c>
      <c r="F69" s="161">
        <v>667</v>
      </c>
      <c r="G69" s="161">
        <v>667</v>
      </c>
      <c r="H69" s="161">
        <v>667</v>
      </c>
      <c r="I69" s="161">
        <v>667</v>
      </c>
      <c r="J69" s="161">
        <v>667</v>
      </c>
      <c r="K69" s="161">
        <v>667</v>
      </c>
      <c r="L69" s="161">
        <v>667</v>
      </c>
      <c r="M69" s="161">
        <v>667</v>
      </c>
      <c r="N69" s="161">
        <v>667</v>
      </c>
      <c r="O69" s="76">
        <f t="shared" si="25"/>
        <v>8004</v>
      </c>
      <c r="P69" s="64">
        <f t="shared" si="26"/>
        <v>8004</v>
      </c>
      <c r="Q69" s="135">
        <v>8004</v>
      </c>
      <c r="R69" s="149"/>
    </row>
    <row r="70" spans="1:18" x14ac:dyDescent="0.3">
      <c r="A70" s="178">
        <v>6280</v>
      </c>
      <c r="B70" s="95" t="s">
        <v>91</v>
      </c>
      <c r="C70" s="162" t="s">
        <v>127</v>
      </c>
      <c r="D70" s="162" t="s">
        <v>128</v>
      </c>
      <c r="E70" s="162">
        <v>1700</v>
      </c>
      <c r="F70" s="162" t="s">
        <v>128</v>
      </c>
      <c r="G70" s="162" t="s">
        <v>128</v>
      </c>
      <c r="H70" s="162">
        <v>2800</v>
      </c>
      <c r="I70" s="162" t="s">
        <v>128</v>
      </c>
      <c r="J70" s="162" t="s">
        <v>128</v>
      </c>
      <c r="K70" s="162">
        <v>2500</v>
      </c>
      <c r="L70" s="162" t="s">
        <v>128</v>
      </c>
      <c r="M70" s="162" t="s">
        <v>128</v>
      </c>
      <c r="N70" s="162" t="s">
        <v>128</v>
      </c>
      <c r="O70" s="97">
        <f t="shared" si="25"/>
        <v>7000</v>
      </c>
      <c r="P70" s="64">
        <f t="shared" si="26"/>
        <v>7000</v>
      </c>
      <c r="Q70" s="135">
        <v>7000</v>
      </c>
      <c r="R70" s="149"/>
    </row>
    <row r="71" spans="1:18" x14ac:dyDescent="0.3">
      <c r="A71" s="178"/>
      <c r="B71" s="98" t="s">
        <v>92</v>
      </c>
      <c r="C71" s="69">
        <f t="shared" ref="C71:P71" si="30">SUM(C53:C70)</f>
        <v>22864.957131680672</v>
      </c>
      <c r="D71" s="69">
        <f t="shared" si="30"/>
        <v>18740.942428497943</v>
      </c>
      <c r="E71" s="69">
        <f t="shared" si="30"/>
        <v>24778.825677208555</v>
      </c>
      <c r="F71" s="69">
        <f t="shared" si="30"/>
        <v>15989.57687639633</v>
      </c>
      <c r="G71" s="69">
        <f t="shared" si="30"/>
        <v>13931.04788781543</v>
      </c>
      <c r="H71" s="69">
        <f t="shared" si="30"/>
        <v>22574.317305264194</v>
      </c>
      <c r="I71" s="69">
        <f t="shared" si="30"/>
        <v>15474.919017006445</v>
      </c>
      <c r="J71" s="69">
        <f t="shared" si="30"/>
        <v>27140.968216447352</v>
      </c>
      <c r="K71" s="69">
        <f t="shared" si="30"/>
        <v>21199.306971432859</v>
      </c>
      <c r="L71" s="69">
        <f t="shared" si="30"/>
        <v>25394.924515229064</v>
      </c>
      <c r="M71" s="69">
        <f t="shared" si="30"/>
        <v>24434.714641537343</v>
      </c>
      <c r="N71" s="69">
        <f t="shared" si="30"/>
        <v>20340.517437176823</v>
      </c>
      <c r="O71" s="69">
        <f t="shared" si="30"/>
        <v>240327</v>
      </c>
      <c r="P71" s="69">
        <f t="shared" si="30"/>
        <v>252865.01810569302</v>
      </c>
      <c r="Q71" s="136">
        <v>237323</v>
      </c>
      <c r="R71" s="149"/>
    </row>
    <row r="72" spans="1:18" x14ac:dyDescent="0.3">
      <c r="A72" s="176"/>
      <c r="B72" s="101" t="s">
        <v>93</v>
      </c>
      <c r="C72" s="102"/>
      <c r="D72" s="102"/>
      <c r="E72" s="102"/>
      <c r="F72" s="102"/>
      <c r="G72" s="102"/>
      <c r="H72" s="102"/>
      <c r="I72" s="102"/>
      <c r="J72" s="102"/>
      <c r="K72" s="102"/>
      <c r="L72" s="102"/>
      <c r="M72" s="102"/>
      <c r="N72" s="102"/>
      <c r="O72" s="102"/>
      <c r="P72" s="103"/>
      <c r="Q72" s="103"/>
      <c r="R72" s="149"/>
    </row>
    <row r="73" spans="1:18" x14ac:dyDescent="0.3">
      <c r="A73" s="176">
        <v>6310</v>
      </c>
      <c r="B73" s="104" t="s">
        <v>94</v>
      </c>
      <c r="C73" s="96">
        <f t="shared" ref="C73:N75" si="31">$P73/12</f>
        <v>1250</v>
      </c>
      <c r="D73" s="96">
        <f t="shared" si="31"/>
        <v>1250</v>
      </c>
      <c r="E73" s="96">
        <f t="shared" si="31"/>
        <v>1250</v>
      </c>
      <c r="F73" s="96">
        <f t="shared" si="31"/>
        <v>1250</v>
      </c>
      <c r="G73" s="96">
        <f t="shared" si="31"/>
        <v>1250</v>
      </c>
      <c r="H73" s="96">
        <f t="shared" si="31"/>
        <v>1250</v>
      </c>
      <c r="I73" s="96">
        <f t="shared" si="31"/>
        <v>1250</v>
      </c>
      <c r="J73" s="96">
        <f t="shared" si="31"/>
        <v>1250</v>
      </c>
      <c r="K73" s="96">
        <f t="shared" si="31"/>
        <v>1250</v>
      </c>
      <c r="L73" s="96">
        <f t="shared" si="31"/>
        <v>1250</v>
      </c>
      <c r="M73" s="96">
        <f t="shared" si="31"/>
        <v>1250</v>
      </c>
      <c r="N73" s="96">
        <f t="shared" si="31"/>
        <v>1250</v>
      </c>
      <c r="O73" s="105">
        <f>SUM(C73:N73)</f>
        <v>15000</v>
      </c>
      <c r="P73" s="64">
        <v>15000</v>
      </c>
      <c r="Q73" s="135">
        <v>15000</v>
      </c>
      <c r="R73" s="149"/>
    </row>
    <row r="74" spans="1:18" x14ac:dyDescent="0.3">
      <c r="A74" s="175">
        <v>6320</v>
      </c>
      <c r="B74" s="104" t="s">
        <v>95</v>
      </c>
      <c r="C74" s="96">
        <f t="shared" si="31"/>
        <v>2500</v>
      </c>
      <c r="D74" s="96">
        <f t="shared" si="31"/>
        <v>2500</v>
      </c>
      <c r="E74" s="96">
        <f t="shared" si="31"/>
        <v>2500</v>
      </c>
      <c r="F74" s="96">
        <f t="shared" si="31"/>
        <v>2500</v>
      </c>
      <c r="G74" s="96">
        <f t="shared" si="31"/>
        <v>2500</v>
      </c>
      <c r="H74" s="96">
        <f t="shared" si="31"/>
        <v>2500</v>
      </c>
      <c r="I74" s="96">
        <f t="shared" si="31"/>
        <v>2500</v>
      </c>
      <c r="J74" s="96">
        <f t="shared" si="31"/>
        <v>2500</v>
      </c>
      <c r="K74" s="96">
        <f t="shared" si="31"/>
        <v>2500</v>
      </c>
      <c r="L74" s="96">
        <f t="shared" si="31"/>
        <v>2500</v>
      </c>
      <c r="M74" s="96">
        <f t="shared" si="31"/>
        <v>2500</v>
      </c>
      <c r="N74" s="96">
        <f t="shared" si="31"/>
        <v>2500</v>
      </c>
      <c r="O74" s="105">
        <f>SUM(C74:N74)</f>
        <v>30000</v>
      </c>
      <c r="P74" s="64">
        <v>30000</v>
      </c>
      <c r="Q74" s="135">
        <v>30000</v>
      </c>
      <c r="R74" s="148"/>
    </row>
    <row r="75" spans="1:18" x14ac:dyDescent="0.3">
      <c r="A75" s="176">
        <v>6330</v>
      </c>
      <c r="B75" s="104" t="s">
        <v>96</v>
      </c>
      <c r="C75" s="96">
        <f t="shared" si="31"/>
        <v>1000</v>
      </c>
      <c r="D75" s="96">
        <f t="shared" si="31"/>
        <v>1000</v>
      </c>
      <c r="E75" s="96">
        <f t="shared" si="31"/>
        <v>1000</v>
      </c>
      <c r="F75" s="96">
        <f t="shared" si="31"/>
        <v>1000</v>
      </c>
      <c r="G75" s="96">
        <f t="shared" si="31"/>
        <v>1000</v>
      </c>
      <c r="H75" s="96">
        <f t="shared" si="31"/>
        <v>1000</v>
      </c>
      <c r="I75" s="96">
        <f t="shared" si="31"/>
        <v>1000</v>
      </c>
      <c r="J75" s="96">
        <f t="shared" si="31"/>
        <v>1000</v>
      </c>
      <c r="K75" s="96">
        <f t="shared" si="31"/>
        <v>1000</v>
      </c>
      <c r="L75" s="96">
        <f t="shared" si="31"/>
        <v>1000</v>
      </c>
      <c r="M75" s="96">
        <f t="shared" si="31"/>
        <v>1000</v>
      </c>
      <c r="N75" s="96">
        <f t="shared" si="31"/>
        <v>1000</v>
      </c>
      <c r="O75" s="105">
        <f>SUM(C75:N75)</f>
        <v>12000</v>
      </c>
      <c r="P75" s="64">
        <v>12000</v>
      </c>
      <c r="Q75" s="135">
        <v>12000</v>
      </c>
      <c r="R75" s="149"/>
    </row>
    <row r="76" spans="1:18" x14ac:dyDescent="0.3">
      <c r="A76" s="176"/>
      <c r="B76" s="106" t="s">
        <v>97</v>
      </c>
      <c r="C76" s="107">
        <f t="shared" ref="C76:P76" si="32">SUM(C73:C75)</f>
        <v>4750</v>
      </c>
      <c r="D76" s="107">
        <f t="shared" si="32"/>
        <v>4750</v>
      </c>
      <c r="E76" s="107">
        <f t="shared" si="32"/>
        <v>4750</v>
      </c>
      <c r="F76" s="107">
        <f t="shared" si="32"/>
        <v>4750</v>
      </c>
      <c r="G76" s="107">
        <f t="shared" si="32"/>
        <v>4750</v>
      </c>
      <c r="H76" s="107">
        <f t="shared" si="32"/>
        <v>4750</v>
      </c>
      <c r="I76" s="107">
        <f t="shared" si="32"/>
        <v>4750</v>
      </c>
      <c r="J76" s="107">
        <f t="shared" si="32"/>
        <v>4750</v>
      </c>
      <c r="K76" s="107">
        <f t="shared" si="32"/>
        <v>4750</v>
      </c>
      <c r="L76" s="107">
        <f t="shared" si="32"/>
        <v>4750</v>
      </c>
      <c r="M76" s="107">
        <f t="shared" si="32"/>
        <v>4750</v>
      </c>
      <c r="N76" s="107">
        <f t="shared" si="32"/>
        <v>4750</v>
      </c>
      <c r="O76" s="107">
        <f t="shared" si="32"/>
        <v>57000</v>
      </c>
      <c r="P76" s="108">
        <f t="shared" si="32"/>
        <v>57000</v>
      </c>
      <c r="Q76" s="68">
        <v>57000</v>
      </c>
      <c r="R76" s="149"/>
    </row>
    <row r="77" spans="1:18" x14ac:dyDescent="0.3">
      <c r="A77" s="176"/>
      <c r="B77" s="106" t="s">
        <v>98</v>
      </c>
      <c r="C77" s="108">
        <f t="shared" ref="C77:P77" si="33">SUM(C71+C76)</f>
        <v>27614.957131680672</v>
      </c>
      <c r="D77" s="108">
        <f t="shared" si="33"/>
        <v>23490.942428497943</v>
      </c>
      <c r="E77" s="108">
        <f t="shared" si="33"/>
        <v>29528.825677208555</v>
      </c>
      <c r="F77" s="108">
        <f t="shared" si="33"/>
        <v>20739.576876396328</v>
      </c>
      <c r="G77" s="108">
        <f t="shared" si="33"/>
        <v>18681.047887815432</v>
      </c>
      <c r="H77" s="108">
        <f t="shared" si="33"/>
        <v>27324.317305264194</v>
      </c>
      <c r="I77" s="108">
        <f t="shared" si="33"/>
        <v>20224.919017006447</v>
      </c>
      <c r="J77" s="108">
        <f t="shared" si="33"/>
        <v>31890.968216447352</v>
      </c>
      <c r="K77" s="108">
        <f t="shared" si="33"/>
        <v>25949.306971432859</v>
      </c>
      <c r="L77" s="108">
        <f t="shared" si="33"/>
        <v>30144.924515229064</v>
      </c>
      <c r="M77" s="108">
        <f t="shared" si="33"/>
        <v>29184.714641537343</v>
      </c>
      <c r="N77" s="108">
        <f t="shared" si="33"/>
        <v>25090.517437176823</v>
      </c>
      <c r="O77" s="108">
        <f t="shared" si="33"/>
        <v>297327</v>
      </c>
      <c r="P77" s="108">
        <f t="shared" si="33"/>
        <v>309865.01810569305</v>
      </c>
      <c r="Q77" s="68">
        <v>294323</v>
      </c>
      <c r="R77" s="149"/>
    </row>
    <row r="78" spans="1:18" x14ac:dyDescent="0.3">
      <c r="A78" s="178"/>
      <c r="B78" s="109" t="s">
        <v>99</v>
      </c>
      <c r="C78" s="83">
        <f t="shared" ref="C78:O78" si="34">SUM(C49-C77)</f>
        <v>2335.8093839697649</v>
      </c>
      <c r="D78" s="83">
        <f t="shared" si="34"/>
        <v>-96206.800767229943</v>
      </c>
      <c r="E78" s="83">
        <f t="shared" si="34"/>
        <v>49192.537204075314</v>
      </c>
      <c r="F78" s="83">
        <f t="shared" si="34"/>
        <v>19835.148024899652</v>
      </c>
      <c r="G78" s="83">
        <f t="shared" si="34"/>
        <v>13183.614108887268</v>
      </c>
      <c r="H78" s="83">
        <f t="shared" si="34"/>
        <v>37045.683176223829</v>
      </c>
      <c r="I78" s="83">
        <f t="shared" si="34"/>
        <v>13728.463237268828</v>
      </c>
      <c r="J78" s="83">
        <f t="shared" si="34"/>
        <v>-10598.866086256614</v>
      </c>
      <c r="K78" s="83">
        <f t="shared" si="34"/>
        <v>22973.864685891254</v>
      </c>
      <c r="L78" s="83">
        <f t="shared" si="34"/>
        <v>14084.383052907568</v>
      </c>
      <c r="M78" s="83">
        <f t="shared" si="34"/>
        <v>10128.263413573717</v>
      </c>
      <c r="N78" s="83">
        <f t="shared" si="34"/>
        <v>11936.5720279081</v>
      </c>
      <c r="O78" s="83">
        <f t="shared" si="34"/>
        <v>-1036297.1596739748</v>
      </c>
      <c r="P78" s="83">
        <f>SUM(P49-P77)</f>
        <v>69638.671462118742</v>
      </c>
      <c r="Q78" s="138">
        <v>69719</v>
      </c>
      <c r="R78" s="149"/>
    </row>
    <row r="79" spans="1:18" x14ac:dyDescent="0.3">
      <c r="A79" s="178"/>
      <c r="B79" s="110" t="s">
        <v>100</v>
      </c>
      <c r="C79" s="111">
        <f t="shared" ref="C79:P79" si="35">SUM(C78/C9)</f>
        <v>2.1285621437042181E-2</v>
      </c>
      <c r="D79" s="111">
        <f t="shared" si="35"/>
        <v>-0.9795780635154443</v>
      </c>
      <c r="E79" s="111">
        <f t="shared" si="35"/>
        <v>0.38198895173222019</v>
      </c>
      <c r="F79" s="111">
        <f t="shared" si="35"/>
        <v>0.2666355339896222</v>
      </c>
      <c r="G79" s="111">
        <f t="shared" si="35"/>
        <v>0.22576811800029881</v>
      </c>
      <c r="H79" s="111">
        <f t="shared" si="35"/>
        <v>0.3470029053871227</v>
      </c>
      <c r="I79" s="111">
        <f t="shared" si="35"/>
        <v>0.20894254315449107</v>
      </c>
      <c r="J79" s="111">
        <f t="shared" si="35"/>
        <v>-0.13909913811327285</v>
      </c>
      <c r="K79" s="111">
        <f t="shared" si="35"/>
        <v>0.19031964250357258</v>
      </c>
      <c r="L79" s="111">
        <f t="shared" si="35"/>
        <v>0.10726812450248804</v>
      </c>
      <c r="M79" s="111">
        <f t="shared" si="35"/>
        <v>8.1203292893683748E-2</v>
      </c>
      <c r="N79" s="111">
        <f t="shared" si="35"/>
        <v>0.10371665117196631</v>
      </c>
      <c r="O79" s="111" t="e">
        <f t="shared" si="35"/>
        <v>#DIV/0!</v>
      </c>
      <c r="P79" s="111">
        <f t="shared" si="35"/>
        <v>5.7552515926494664E-2</v>
      </c>
      <c r="Q79" s="124">
        <v>5.7619008264462812E-2</v>
      </c>
      <c r="R79" s="146"/>
    </row>
    <row r="80" spans="1:18" hidden="1" x14ac:dyDescent="0.3">
      <c r="A80" s="176"/>
      <c r="B80" s="112" t="s">
        <v>62</v>
      </c>
      <c r="C80" s="15" t="e">
        <f>SUM(C$71+C$76)/#REF!</f>
        <v>#REF!</v>
      </c>
      <c r="D80" s="15" t="e">
        <f>SUM(D$71+D$76)/#REF!</f>
        <v>#REF!</v>
      </c>
      <c r="E80" s="15" t="e">
        <f>SUM(E$71+E$76)/#REF!</f>
        <v>#REF!</v>
      </c>
      <c r="F80" s="15" t="e">
        <f>SUM(F$71+F$76)/#REF!</f>
        <v>#REF!</v>
      </c>
      <c r="G80" s="15" t="e">
        <f>SUM(G$71+G$76)/#REF!</f>
        <v>#REF!</v>
      </c>
      <c r="H80" s="15" t="e">
        <f>SUM(H$71+H$76)/#REF!</f>
        <v>#REF!</v>
      </c>
      <c r="I80" s="15" t="e">
        <f>SUM(I$71+I$76)/#REF!</f>
        <v>#REF!</v>
      </c>
      <c r="J80" s="15" t="e">
        <f>SUM(J$71+J$76)/#REF!</f>
        <v>#REF!</v>
      </c>
      <c r="K80" s="15" t="e">
        <f>SUM(K$71+K$76)/#REF!</f>
        <v>#REF!</v>
      </c>
      <c r="L80" s="15" t="e">
        <f>SUM(L$71+L$76)/#REF!</f>
        <v>#REF!</v>
      </c>
      <c r="M80" s="15" t="e">
        <f>SUM(M$71+M$76)/#REF!</f>
        <v>#REF!</v>
      </c>
      <c r="N80" s="15" t="e">
        <f>SUM(N$71+N$76)/#REF!</f>
        <v>#REF!</v>
      </c>
      <c r="O80" s="15" t="e">
        <f>SUM(O$71+O$76)/#REF!</f>
        <v>#REF!</v>
      </c>
      <c r="P80" s="16" t="e">
        <f>SUM(P$71+P$76)/#REF!</f>
        <v>#REF!</v>
      </c>
      <c r="Q80" s="137"/>
      <c r="R80" s="146"/>
    </row>
    <row r="81" spans="1:18" x14ac:dyDescent="0.3">
      <c r="A81" s="176"/>
      <c r="B81" s="6"/>
      <c r="C81" s="5"/>
      <c r="D81" s="5"/>
      <c r="E81" s="5"/>
      <c r="F81" s="5"/>
      <c r="G81" s="5"/>
      <c r="H81" s="6"/>
      <c r="I81" s="6"/>
      <c r="J81" s="6"/>
      <c r="K81" s="6"/>
      <c r="L81" s="6"/>
      <c r="M81" s="6"/>
      <c r="N81" s="6"/>
      <c r="O81" s="6"/>
      <c r="P81" s="113"/>
      <c r="Q81" s="113"/>
      <c r="R81" s="146"/>
    </row>
    <row r="82" spans="1:18" ht="15.75" customHeight="1" x14ac:dyDescent="0.3">
      <c r="A82" s="176"/>
      <c r="B82" s="625" t="s">
        <v>101</v>
      </c>
      <c r="C82" s="623"/>
      <c r="D82" s="623"/>
      <c r="E82" s="623"/>
      <c r="F82" s="623"/>
      <c r="G82" s="623"/>
      <c r="H82" s="623"/>
      <c r="I82" s="623"/>
      <c r="J82" s="623"/>
      <c r="K82" s="623"/>
      <c r="L82" s="623"/>
      <c r="M82" s="623"/>
      <c r="N82" s="623"/>
      <c r="O82" s="623"/>
      <c r="P82" s="624"/>
      <c r="Q82" s="123"/>
      <c r="R82" s="149"/>
    </row>
    <row r="83" spans="1:18" x14ac:dyDescent="0.3">
      <c r="A83" s="176"/>
      <c r="B83" s="114"/>
      <c r="C83" s="115"/>
      <c r="D83" s="115"/>
      <c r="E83" s="115"/>
      <c r="F83" s="115"/>
      <c r="G83" s="115"/>
      <c r="H83" s="114"/>
      <c r="I83" s="114"/>
      <c r="J83" s="114"/>
      <c r="K83" s="114"/>
      <c r="L83" s="114"/>
      <c r="M83" s="114"/>
      <c r="N83" s="114"/>
      <c r="O83" s="114"/>
      <c r="P83" s="20"/>
      <c r="Q83" s="20"/>
      <c r="R83" s="146"/>
    </row>
    <row r="84" spans="1:18" x14ac:dyDescent="0.3">
      <c r="A84" s="176"/>
      <c r="B84" s="4"/>
      <c r="C84" s="3"/>
      <c r="D84" s="3"/>
      <c r="E84" s="3"/>
      <c r="F84" s="3"/>
      <c r="G84" s="3"/>
      <c r="H84" s="4"/>
      <c r="I84" s="4"/>
      <c r="J84" s="4"/>
      <c r="K84" s="4"/>
      <c r="L84" s="4"/>
      <c r="M84" s="4"/>
      <c r="N84" s="4"/>
      <c r="O84" s="4"/>
      <c r="P84" s="21"/>
      <c r="Q84" s="21"/>
      <c r="R84" s="146"/>
    </row>
    <row r="85" spans="1:18" x14ac:dyDescent="0.3">
      <c r="A85" s="176"/>
      <c r="B85" s="4"/>
      <c r="C85" s="3"/>
      <c r="D85" s="3"/>
      <c r="E85" s="3"/>
      <c r="F85" s="3"/>
      <c r="G85" s="3"/>
      <c r="H85" s="4"/>
      <c r="I85" s="4"/>
      <c r="J85" s="4"/>
      <c r="K85" s="4"/>
      <c r="L85" s="4"/>
      <c r="M85" s="4"/>
      <c r="N85" s="4"/>
      <c r="O85" s="4"/>
      <c r="P85" s="21"/>
      <c r="Q85" s="21"/>
      <c r="R85" s="146"/>
    </row>
    <row r="86" spans="1:18" x14ac:dyDescent="0.3">
      <c r="A86" s="176"/>
      <c r="B86" s="4"/>
      <c r="C86" s="3"/>
      <c r="D86" s="3"/>
      <c r="E86" s="3"/>
      <c r="F86" s="3"/>
      <c r="G86" s="3"/>
      <c r="H86" s="4"/>
      <c r="I86" s="4"/>
      <c r="J86" s="4"/>
      <c r="K86" s="4"/>
      <c r="L86" s="4"/>
      <c r="M86" s="4"/>
      <c r="N86" s="4"/>
      <c r="O86" s="4"/>
      <c r="P86" s="21"/>
      <c r="Q86" s="21"/>
      <c r="R86" s="146"/>
    </row>
    <row r="87" spans="1:18" x14ac:dyDescent="0.3">
      <c r="A87" s="176"/>
      <c r="B87" s="4"/>
      <c r="C87" s="3"/>
      <c r="D87" s="3"/>
      <c r="E87" s="3"/>
      <c r="F87" s="3"/>
      <c r="G87" s="3"/>
      <c r="H87" s="4"/>
      <c r="I87" s="4"/>
      <c r="J87" s="4"/>
      <c r="K87" s="4"/>
      <c r="L87" s="4"/>
      <c r="M87" s="4"/>
      <c r="N87" s="4"/>
      <c r="O87" s="4"/>
      <c r="P87" s="21"/>
      <c r="Q87" s="21"/>
      <c r="R87" s="146"/>
    </row>
    <row r="88" spans="1:18" x14ac:dyDescent="0.3">
      <c r="A88" s="176"/>
      <c r="B88" s="4"/>
      <c r="C88" s="3"/>
      <c r="D88" s="3"/>
      <c r="E88" s="3"/>
      <c r="F88" s="3"/>
      <c r="G88" s="3"/>
      <c r="H88" s="4"/>
      <c r="I88" s="4"/>
      <c r="J88" s="4"/>
      <c r="K88" s="4"/>
      <c r="L88" s="4"/>
      <c r="M88" s="4"/>
      <c r="N88" s="4"/>
      <c r="O88" s="4"/>
      <c r="P88" s="21"/>
      <c r="Q88" s="21"/>
      <c r="R88" s="146"/>
    </row>
    <row r="89" spans="1:18" x14ac:dyDescent="0.3">
      <c r="A89" s="176"/>
      <c r="B89" s="4"/>
      <c r="C89" s="3"/>
      <c r="D89" s="3"/>
      <c r="E89" s="3"/>
      <c r="F89" s="3"/>
      <c r="G89" s="3"/>
      <c r="H89" s="3"/>
      <c r="I89" s="3"/>
      <c r="J89" s="3"/>
      <c r="K89" s="3"/>
      <c r="L89" s="3"/>
      <c r="M89" s="3"/>
      <c r="N89" s="3"/>
      <c r="O89" s="4"/>
      <c r="P89" s="21"/>
      <c r="Q89" s="21"/>
      <c r="R89" s="146"/>
    </row>
  </sheetData>
  <sheetProtection algorithmName="SHA-512" hashValue="fTCqcVqcWj54N5nn/6SMqzqqaYucAW0FPkfqIAYbzwerwPwNZWfXyWwg7Yier1KMFGGydSI8jonRknQo8Vo30Q==" saltValue="kcPLuTYNIWXXCtuRIfEcxw==" spinCount="100000" sheet="1" objects="1" scenarios="1"/>
  <mergeCells count="1">
    <mergeCell ref="B82:P82"/>
  </mergeCells>
  <conditionalFormatting sqref="C1:P1048576">
    <cfRule type="cellIs" dxfId="3" priority="1" operator="lessThan">
      <formula>0</formula>
    </cfRule>
  </conditionalFormatting>
  <printOptions gridLines="1"/>
  <pageMargins left="0.7" right="0.7" top="0.75" bottom="0.75" header="0.3" footer="0.3"/>
  <headerFooter>
    <oddFooter>&amp;R&amp;P</oddFoot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06E43-6930-41E9-85AE-BC546DA6E9C5}">
  <dimension ref="A1:AF91"/>
  <sheetViews>
    <sheetView zoomScale="85" zoomScaleNormal="85" workbookViewId="0">
      <pane xSplit="2" ySplit="2" topLeftCell="P15" activePane="bottomRight" state="frozen"/>
      <selection pane="topRight"/>
      <selection pane="bottomLeft"/>
      <selection pane="bottomRight" activeCell="P15" sqref="P15"/>
    </sheetView>
  </sheetViews>
  <sheetFormatPr defaultColWidth="9.109375" defaultRowHeight="14.4" x14ac:dyDescent="0.3"/>
  <cols>
    <col min="1" max="1" width="10.33203125" customWidth="1"/>
    <col min="2" max="2" width="37.6640625" customWidth="1"/>
    <col min="3" max="13" width="13.109375" customWidth="1"/>
    <col min="14" max="14" width="17.33203125" customWidth="1"/>
    <col min="15" max="15" width="17.33203125" hidden="1" customWidth="1"/>
    <col min="16" max="16" width="17.33203125" customWidth="1"/>
    <col min="17" max="17" width="17.33203125" hidden="1" customWidth="1"/>
    <col min="18" max="18" width="14" style="238" customWidth="1"/>
    <col min="19" max="19" width="14" style="246" customWidth="1"/>
    <col min="20" max="22" width="14" customWidth="1"/>
  </cols>
  <sheetData>
    <row r="1" spans="1:32" ht="66" customHeight="1" x14ac:dyDescent="0.75">
      <c r="A1" s="174"/>
      <c r="B1" s="48"/>
      <c r="C1" s="2"/>
      <c r="E1" s="3"/>
      <c r="F1" s="3"/>
      <c r="G1" s="2"/>
      <c r="H1" s="4"/>
      <c r="I1" s="4"/>
      <c r="J1" s="2"/>
      <c r="K1" s="4"/>
      <c r="L1" s="4"/>
      <c r="M1" s="4"/>
      <c r="N1" s="4"/>
      <c r="O1" s="49"/>
      <c r="P1" s="50"/>
      <c r="Q1" s="50"/>
      <c r="R1" s="235"/>
    </row>
    <row r="2" spans="1:32" s="22" customFormat="1" ht="27.75" customHeight="1" x14ac:dyDescent="0.3">
      <c r="A2" s="172" t="s">
        <v>0</v>
      </c>
      <c r="B2" s="280" t="s">
        <v>44</v>
      </c>
      <c r="C2" s="52" t="s">
        <v>45</v>
      </c>
      <c r="D2" s="52" t="s">
        <v>46</v>
      </c>
      <c r="E2" s="52" t="s">
        <v>47</v>
      </c>
      <c r="F2" s="52" t="s">
        <v>48</v>
      </c>
      <c r="G2" s="52" t="s">
        <v>49</v>
      </c>
      <c r="H2" s="52" t="s">
        <v>50</v>
      </c>
      <c r="I2" s="52" t="s">
        <v>51</v>
      </c>
      <c r="J2" s="52" t="s">
        <v>52</v>
      </c>
      <c r="K2" s="52" t="s">
        <v>53</v>
      </c>
      <c r="L2" s="52" t="s">
        <v>54</v>
      </c>
      <c r="M2" s="53" t="s">
        <v>55</v>
      </c>
      <c r="N2" s="52" t="s">
        <v>56</v>
      </c>
      <c r="O2" s="54"/>
      <c r="P2" s="55" t="s">
        <v>57</v>
      </c>
      <c r="Q2" s="134"/>
      <c r="R2" s="192" t="s">
        <v>129</v>
      </c>
      <c r="S2" s="193" t="s">
        <v>130</v>
      </c>
      <c r="T2" s="189" t="s">
        <v>131</v>
      </c>
      <c r="U2" s="190" t="s">
        <v>132</v>
      </c>
      <c r="V2" s="191" t="s">
        <v>133</v>
      </c>
      <c r="W2"/>
      <c r="X2"/>
      <c r="Y2"/>
      <c r="Z2"/>
      <c r="AA2"/>
      <c r="AB2"/>
      <c r="AC2"/>
      <c r="AD2"/>
      <c r="AE2"/>
      <c r="AF2"/>
    </row>
    <row r="3" spans="1:32" x14ac:dyDescent="0.3">
      <c r="A3" s="173"/>
      <c r="B3" s="56" t="s">
        <v>58</v>
      </c>
      <c r="C3" s="11"/>
      <c r="D3" s="11"/>
      <c r="E3" s="11"/>
      <c r="F3" s="11"/>
      <c r="G3" s="11"/>
      <c r="H3" s="11"/>
      <c r="I3" s="11"/>
      <c r="J3" s="11"/>
      <c r="K3" s="11"/>
      <c r="L3" s="11"/>
      <c r="M3" s="11"/>
      <c r="N3" s="11"/>
      <c r="O3" s="12"/>
      <c r="P3" s="13"/>
      <c r="Q3" s="13"/>
      <c r="R3" s="236"/>
    </row>
    <row r="4" spans="1:32" hidden="1" x14ac:dyDescent="0.3">
      <c r="A4" s="173"/>
      <c r="B4" s="56" t="s">
        <v>59</v>
      </c>
      <c r="C4" s="57">
        <v>0.13</v>
      </c>
      <c r="D4" s="58">
        <v>0.04</v>
      </c>
      <c r="E4" s="58">
        <v>0.08</v>
      </c>
      <c r="F4" s="58">
        <v>0.05</v>
      </c>
      <c r="G4" s="58">
        <v>0.04</v>
      </c>
      <c r="H4" s="59">
        <v>0.05</v>
      </c>
      <c r="I4" s="59">
        <v>7.0000000000000007E-2</v>
      </c>
      <c r="J4" s="59">
        <v>0.1</v>
      </c>
      <c r="K4" s="59">
        <v>0.06</v>
      </c>
      <c r="L4" s="59">
        <v>0.17</v>
      </c>
      <c r="M4" s="59">
        <v>0.16</v>
      </c>
      <c r="N4" s="59">
        <v>0.05</v>
      </c>
      <c r="O4" s="14">
        <f>SUM(C4:N4)</f>
        <v>1</v>
      </c>
      <c r="P4" s="13"/>
      <c r="Q4" s="13"/>
      <c r="R4" s="237"/>
    </row>
    <row r="5" spans="1:32" x14ac:dyDescent="0.3">
      <c r="A5" s="175">
        <v>4100</v>
      </c>
      <c r="B5" s="125" t="s">
        <v>102</v>
      </c>
      <c r="C5" s="221">
        <v>82940</v>
      </c>
      <c r="D5" s="221">
        <v>74230</v>
      </c>
      <c r="E5" s="221">
        <v>64090</v>
      </c>
      <c r="F5" s="221">
        <v>56225.000000000007</v>
      </c>
      <c r="G5" s="221">
        <v>44135</v>
      </c>
      <c r="H5" s="221">
        <v>51090</v>
      </c>
      <c r="I5" s="221">
        <v>49660</v>
      </c>
      <c r="J5" s="221">
        <v>57590</v>
      </c>
      <c r="K5" s="221">
        <v>59995</v>
      </c>
      <c r="L5" s="221">
        <v>87880</v>
      </c>
      <c r="M5" s="221">
        <v>82940</v>
      </c>
      <c r="N5" s="221">
        <v>75724.350000000006</v>
      </c>
      <c r="O5" s="63"/>
      <c r="P5" s="64">
        <f>SUM(C5:N5)</f>
        <v>786499.35</v>
      </c>
      <c r="Q5" s="135">
        <v>786499.35</v>
      </c>
      <c r="R5" s="278">
        <v>0</v>
      </c>
      <c r="S5" s="278">
        <v>0</v>
      </c>
      <c r="T5" s="208">
        <f>(P5+(P5*R5))</f>
        <v>786499.35</v>
      </c>
      <c r="U5" s="207">
        <f>(P5+(P5*S5))</f>
        <v>786499.35</v>
      </c>
      <c r="V5" s="209">
        <f>(T5+(T5*S5))</f>
        <v>786499.35</v>
      </c>
      <c r="W5" s="170">
        <f>$V$5/$V$9</f>
        <v>0.6499993876033765</v>
      </c>
    </row>
    <row r="6" spans="1:32" x14ac:dyDescent="0.3">
      <c r="A6" s="175">
        <v>4200</v>
      </c>
      <c r="B6" s="125" t="s">
        <v>103</v>
      </c>
      <c r="C6" s="221">
        <v>15312</v>
      </c>
      <c r="D6" s="221">
        <v>13704</v>
      </c>
      <c r="E6" s="221">
        <v>11832</v>
      </c>
      <c r="F6" s="221">
        <v>10380</v>
      </c>
      <c r="G6" s="221">
        <v>8148</v>
      </c>
      <c r="H6" s="221">
        <v>9432</v>
      </c>
      <c r="I6" s="221">
        <v>9168</v>
      </c>
      <c r="J6" s="221">
        <v>10632</v>
      </c>
      <c r="K6" s="221">
        <v>11076</v>
      </c>
      <c r="L6" s="221">
        <v>16224</v>
      </c>
      <c r="M6" s="221">
        <v>15312</v>
      </c>
      <c r="N6" s="221">
        <v>13979.880000000003</v>
      </c>
      <c r="O6" s="63"/>
      <c r="P6" s="64">
        <f>SUM(C6:N6)</f>
        <v>145199.88</v>
      </c>
      <c r="Q6" s="135">
        <v>145199.88</v>
      </c>
      <c r="R6" s="278">
        <v>0</v>
      </c>
      <c r="S6" s="278">
        <v>0</v>
      </c>
      <c r="T6" s="208">
        <f t="shared" ref="T6:T8" si="0">(P6+(P6*R6))</f>
        <v>145199.88</v>
      </c>
      <c r="U6" s="207">
        <f t="shared" ref="U6:U8" si="1">(P6+(P6*S6))</f>
        <v>145199.88</v>
      </c>
      <c r="V6" s="209">
        <f t="shared" ref="V6:V8" si="2">(T6+(T6*S6))</f>
        <v>145199.88</v>
      </c>
      <c r="W6" s="170">
        <f>$V$6/$V$9</f>
        <v>0.11999988694216183</v>
      </c>
    </row>
    <row r="7" spans="1:32" x14ac:dyDescent="0.3">
      <c r="A7" s="175">
        <v>4300</v>
      </c>
      <c r="B7" s="125" t="s">
        <v>104</v>
      </c>
      <c r="C7" s="221">
        <v>11484</v>
      </c>
      <c r="D7" s="221">
        <v>10278</v>
      </c>
      <c r="E7" s="221">
        <v>8874</v>
      </c>
      <c r="F7" s="221">
        <v>7785.0000000000009</v>
      </c>
      <c r="G7" s="221">
        <v>6111</v>
      </c>
      <c r="H7" s="221">
        <v>7074</v>
      </c>
      <c r="I7" s="221">
        <v>6876</v>
      </c>
      <c r="J7" s="221">
        <v>7974</v>
      </c>
      <c r="K7" s="221">
        <v>8307</v>
      </c>
      <c r="L7" s="221">
        <v>12168</v>
      </c>
      <c r="M7" s="221">
        <v>11484</v>
      </c>
      <c r="N7" s="221">
        <v>10484.91</v>
      </c>
      <c r="O7" s="63"/>
      <c r="P7" s="64">
        <f>SUM(C7:N7)</f>
        <v>108899.91</v>
      </c>
      <c r="Q7" s="135">
        <v>108899.91</v>
      </c>
      <c r="R7" s="278">
        <v>0</v>
      </c>
      <c r="S7" s="278">
        <v>0</v>
      </c>
      <c r="T7" s="208">
        <f t="shared" si="0"/>
        <v>108899.91</v>
      </c>
      <c r="U7" s="207">
        <f t="shared" si="1"/>
        <v>108899.91</v>
      </c>
      <c r="V7" s="209">
        <f t="shared" si="2"/>
        <v>108899.91</v>
      </c>
      <c r="W7" s="170">
        <f>$V$7/$V$9</f>
        <v>8.9999915206621373E-2</v>
      </c>
    </row>
    <row r="8" spans="1:32" x14ac:dyDescent="0.3">
      <c r="A8" s="175">
        <v>4400</v>
      </c>
      <c r="B8" s="125" t="s">
        <v>105</v>
      </c>
      <c r="C8" s="221">
        <v>15202.27</v>
      </c>
      <c r="D8" s="221">
        <v>14680.33</v>
      </c>
      <c r="E8" s="221">
        <v>14101.82</v>
      </c>
      <c r="F8" s="221">
        <v>13506.05</v>
      </c>
      <c r="G8" s="221">
        <v>12551.17</v>
      </c>
      <c r="H8" s="221">
        <v>13105.87</v>
      </c>
      <c r="I8" s="221">
        <v>13401.88</v>
      </c>
      <c r="J8" s="221">
        <v>13733.07</v>
      </c>
      <c r="K8" s="221">
        <v>14199.41</v>
      </c>
      <c r="L8" s="221">
        <v>15028.73</v>
      </c>
      <c r="M8" s="221">
        <v>14991.25</v>
      </c>
      <c r="N8" s="223">
        <v>14899.15</v>
      </c>
      <c r="O8" s="63"/>
      <c r="P8" s="64">
        <f>SUM(C8:N8)</f>
        <v>169401</v>
      </c>
      <c r="Q8" s="135">
        <v>169400.49391902841</v>
      </c>
      <c r="R8" s="278">
        <v>0</v>
      </c>
      <c r="S8" s="278">
        <v>0</v>
      </c>
      <c r="T8" s="208">
        <f t="shared" si="0"/>
        <v>169401</v>
      </c>
      <c r="U8" s="207">
        <f t="shared" si="1"/>
        <v>169401</v>
      </c>
      <c r="V8" s="209">
        <f t="shared" si="2"/>
        <v>169401</v>
      </c>
      <c r="W8" s="170">
        <f>$V$8/$V$9</f>
        <v>0.14000081024784011</v>
      </c>
    </row>
    <row r="9" spans="1:32" x14ac:dyDescent="0.3">
      <c r="A9" s="176"/>
      <c r="B9" s="65" t="s">
        <v>61</v>
      </c>
      <c r="C9" s="157">
        <f t="shared" ref="C9:O9" si="3">SUM(C5:C8)</f>
        <v>124938.27</v>
      </c>
      <c r="D9" s="157">
        <f t="shared" si="3"/>
        <v>112892.33</v>
      </c>
      <c r="E9" s="157">
        <f t="shared" si="3"/>
        <v>98897.82</v>
      </c>
      <c r="F9" s="157">
        <f t="shared" si="3"/>
        <v>87896.05</v>
      </c>
      <c r="G9" s="157">
        <f t="shared" si="3"/>
        <v>70945.17</v>
      </c>
      <c r="H9" s="157">
        <f t="shared" si="3"/>
        <v>80701.87</v>
      </c>
      <c r="I9" s="157">
        <f t="shared" si="3"/>
        <v>79105.88</v>
      </c>
      <c r="J9" s="157">
        <f t="shared" si="3"/>
        <v>89929.07</v>
      </c>
      <c r="K9" s="157">
        <f t="shared" si="3"/>
        <v>93577.41</v>
      </c>
      <c r="L9" s="157">
        <f t="shared" si="3"/>
        <v>131300.73000000001</v>
      </c>
      <c r="M9" s="157">
        <f t="shared" si="3"/>
        <v>124727.25</v>
      </c>
      <c r="N9" s="157">
        <f t="shared" si="3"/>
        <v>115088.29000000001</v>
      </c>
      <c r="O9" s="69">
        <f t="shared" si="3"/>
        <v>0</v>
      </c>
      <c r="P9" s="69">
        <f>SUM(P5:P8)</f>
        <v>1210000.1400000001</v>
      </c>
      <c r="Q9" s="136">
        <v>1210000</v>
      </c>
      <c r="T9" s="69">
        <f>SUM(T5:T8)</f>
        <v>1210000.1400000001</v>
      </c>
      <c r="U9" s="69">
        <f t="shared" ref="U9:V9" si="4">SUM(U5:U8)</f>
        <v>1210000.1400000001</v>
      </c>
      <c r="V9" s="69">
        <f t="shared" si="4"/>
        <v>1210000.1400000001</v>
      </c>
      <c r="W9" s="171">
        <f>SUM(W5:W8)</f>
        <v>0.99999999999999978</v>
      </c>
    </row>
    <row r="10" spans="1:32" hidden="1" x14ac:dyDescent="0.3">
      <c r="A10" s="50"/>
      <c r="B10" s="70" t="s">
        <v>62</v>
      </c>
      <c r="C10" s="71" t="e">
        <f>SUM(C$71+C$76)/#REF!</f>
        <v>#REF!</v>
      </c>
      <c r="D10" s="15" t="e">
        <f>SUM(D$71+D$76)/#REF!</f>
        <v>#REF!</v>
      </c>
      <c r="E10" s="15" t="e">
        <f>SUM(E$71+E$76)/#REF!</f>
        <v>#REF!</v>
      </c>
      <c r="F10" s="15" t="e">
        <f>SUM(F$71+F$76)/#REF!</f>
        <v>#REF!</v>
      </c>
      <c r="G10" s="15" t="e">
        <f>SUM(G$71+G$76)/#REF!</f>
        <v>#REF!</v>
      </c>
      <c r="H10" s="15" t="e">
        <f>SUM(H$71+H$76)/#REF!</f>
        <v>#REF!</v>
      </c>
      <c r="I10" s="15" t="e">
        <f>SUM(I$71+I$76)/#REF!</f>
        <v>#REF!</v>
      </c>
      <c r="J10" s="15" t="e">
        <f>SUM(J$71+J$76)/#REF!</f>
        <v>#REF!</v>
      </c>
      <c r="K10" s="15" t="e">
        <f>SUM(K$71+K$76)/#REF!</f>
        <v>#REF!</v>
      </c>
      <c r="L10" s="15" t="e">
        <f>SUM(L$71+L$76)/#REF!</f>
        <v>#REF!</v>
      </c>
      <c r="M10" s="15" t="e">
        <f>SUM(M$71+M$76)/#REF!</f>
        <v>#REF!</v>
      </c>
      <c r="N10" s="15" t="e">
        <f>SUM(N$71+N$76)/#REF!</f>
        <v>#REF!</v>
      </c>
      <c r="O10" s="16" t="e">
        <f>SUM(O$71+O$76)/#REF!</f>
        <v>#REF!</v>
      </c>
      <c r="P10" s="72" t="e">
        <f>SUM(P$71+P$76)/#REF!</f>
        <v>#REF!</v>
      </c>
      <c r="Q10" s="137" t="e">
        <v>#REF!</v>
      </c>
      <c r="R10" s="239"/>
    </row>
    <row r="11" spans="1:32" x14ac:dyDescent="0.3">
      <c r="A11" s="177"/>
      <c r="B11" s="73"/>
      <c r="C11" s="18"/>
      <c r="D11" s="18"/>
      <c r="E11" s="18"/>
      <c r="F11" s="18"/>
      <c r="G11" s="18"/>
      <c r="H11" s="18"/>
      <c r="I11" s="18"/>
      <c r="J11" s="18"/>
      <c r="K11" s="18"/>
      <c r="L11" s="18"/>
      <c r="M11" s="18"/>
      <c r="N11" s="18"/>
      <c r="O11" s="18"/>
      <c r="P11" s="19"/>
      <c r="Q11" s="19"/>
      <c r="R11" s="240"/>
    </row>
    <row r="12" spans="1:32" x14ac:dyDescent="0.3">
      <c r="A12" s="176"/>
      <c r="B12" s="101" t="s">
        <v>106</v>
      </c>
      <c r="C12" s="9"/>
      <c r="D12" s="5"/>
      <c r="E12" s="5"/>
      <c r="F12" s="5"/>
      <c r="G12" s="5"/>
      <c r="H12" s="6"/>
      <c r="I12" s="6"/>
      <c r="J12" s="6"/>
      <c r="K12" s="6"/>
      <c r="L12" s="6"/>
      <c r="M12" s="6"/>
      <c r="N12" s="6"/>
      <c r="O12" s="7"/>
      <c r="P12" s="170">
        <f>$V$5/$V$9</f>
        <v>0.6499993876033765</v>
      </c>
      <c r="Q12" s="8"/>
      <c r="R12" s="277" t="s">
        <v>134</v>
      </c>
    </row>
    <row r="13" spans="1:32" x14ac:dyDescent="0.3">
      <c r="A13" s="176">
        <v>5110</v>
      </c>
      <c r="B13" s="145" t="s">
        <v>107</v>
      </c>
      <c r="C13" s="224">
        <f t="shared" ref="C13:N15" si="5">(C$5/$Q$5)*$Q13</f>
        <v>42318.944065243028</v>
      </c>
      <c r="D13" s="224">
        <f t="shared" si="5"/>
        <v>37874.791632059198</v>
      </c>
      <c r="E13" s="224">
        <f t="shared" si="5"/>
        <v>32701.002232233252</v>
      </c>
      <c r="F13" s="224">
        <f t="shared" si="5"/>
        <v>28687.998915701588</v>
      </c>
      <c r="G13" s="224">
        <f t="shared" si="5"/>
        <v>22519.250015909103</v>
      </c>
      <c r="H13" s="224">
        <f t="shared" si="5"/>
        <v>26067.938899123055</v>
      </c>
      <c r="I13" s="224">
        <f t="shared" si="5"/>
        <v>25338.301932480936</v>
      </c>
      <c r="J13" s="224">
        <f t="shared" si="5"/>
        <v>29384.470565678155</v>
      </c>
      <c r="K13" s="224">
        <f t="shared" si="5"/>
        <v>30611.587282303542</v>
      </c>
      <c r="L13" s="224">
        <f t="shared" si="5"/>
        <v>44839.508131824907</v>
      </c>
      <c r="M13" s="224">
        <f t="shared" si="5"/>
        <v>42318.944065243028</v>
      </c>
      <c r="N13" s="224">
        <f t="shared" si="5"/>
        <v>38637.262262200216</v>
      </c>
      <c r="O13" s="76">
        <v>474800</v>
      </c>
      <c r="P13" s="64">
        <f t="shared" ref="P13:P17" si="6">SUM(C13:N13)</f>
        <v>401300</v>
      </c>
      <c r="Q13" s="135">
        <v>401300</v>
      </c>
      <c r="R13" s="278">
        <v>0</v>
      </c>
      <c r="T13" s="208">
        <f t="shared" ref="T13:T17" si="7">(P13+(P13*R13))</f>
        <v>401300</v>
      </c>
      <c r="U13" s="207">
        <f>P13</f>
        <v>401300</v>
      </c>
      <c r="V13" s="209">
        <f>T13</f>
        <v>401300</v>
      </c>
    </row>
    <row r="14" spans="1:32" x14ac:dyDescent="0.3">
      <c r="A14" s="176">
        <v>5120</v>
      </c>
      <c r="B14" s="145" t="s">
        <v>108</v>
      </c>
      <c r="C14" s="224">
        <f t="shared" si="5"/>
        <v>4921.567703774962</v>
      </c>
      <c r="D14" s="224">
        <f t="shared" si="5"/>
        <v>4404.7259543189703</v>
      </c>
      <c r="E14" s="224">
        <f t="shared" si="5"/>
        <v>3803.0295892806525</v>
      </c>
      <c r="F14" s="224">
        <f t="shared" si="5"/>
        <v>3336.329203577855</v>
      </c>
      <c r="G14" s="224">
        <f t="shared" si="5"/>
        <v>2618.9219991090904</v>
      </c>
      <c r="H14" s="224">
        <f t="shared" si="5"/>
        <v>3031.6239930776801</v>
      </c>
      <c r="I14" s="224">
        <f t="shared" si="5"/>
        <v>2946.7693774953536</v>
      </c>
      <c r="J14" s="224">
        <f t="shared" si="5"/>
        <v>3417.3267911791663</v>
      </c>
      <c r="K14" s="224">
        <f t="shared" si="5"/>
        <v>3560.0368264767162</v>
      </c>
      <c r="L14" s="224">
        <f t="shared" si="5"/>
        <v>5214.701830332091</v>
      </c>
      <c r="M14" s="224">
        <f t="shared" si="5"/>
        <v>4921.567703774962</v>
      </c>
      <c r="N14" s="224">
        <f t="shared" si="5"/>
        <v>4493.3990276025024</v>
      </c>
      <c r="O14" s="76">
        <v>96670</v>
      </c>
      <c r="P14" s="64">
        <f t="shared" si="6"/>
        <v>46670</v>
      </c>
      <c r="Q14" s="135">
        <v>46670</v>
      </c>
      <c r="R14" s="278">
        <v>0</v>
      </c>
      <c r="T14" s="208">
        <f t="shared" si="7"/>
        <v>46670</v>
      </c>
      <c r="U14" s="207">
        <f t="shared" ref="U14:U17" si="8">P14</f>
        <v>46670</v>
      </c>
      <c r="V14" s="209">
        <f t="shared" ref="V14:V17" si="9">T14</f>
        <v>46670</v>
      </c>
    </row>
    <row r="15" spans="1:32" x14ac:dyDescent="0.3">
      <c r="A15" s="176">
        <v>5130</v>
      </c>
      <c r="B15" s="145" t="s">
        <v>109</v>
      </c>
      <c r="C15" s="224">
        <f t="shared" si="5"/>
        <v>1845.4560706248519</v>
      </c>
      <c r="D15" s="224">
        <f t="shared" si="5"/>
        <v>1651.6542575655021</v>
      </c>
      <c r="E15" s="224">
        <f t="shared" si="5"/>
        <v>1426.034236391931</v>
      </c>
      <c r="F15" s="224">
        <f t="shared" si="5"/>
        <v>1251.0340917637125</v>
      </c>
      <c r="G15" s="224">
        <f t="shared" si="5"/>
        <v>982.02560497983882</v>
      </c>
      <c r="H15" s="224">
        <f t="shared" si="5"/>
        <v>1136.7777989899164</v>
      </c>
      <c r="I15" s="224">
        <f t="shared" si="5"/>
        <v>1104.9595908756951</v>
      </c>
      <c r="J15" s="224">
        <f t="shared" si="5"/>
        <v>1281.4060176909238</v>
      </c>
      <c r="K15" s="224">
        <f t="shared" si="5"/>
        <v>1334.9184586102965</v>
      </c>
      <c r="L15" s="224">
        <f t="shared" si="5"/>
        <v>1955.3735168376172</v>
      </c>
      <c r="M15" s="224">
        <f t="shared" si="5"/>
        <v>1845.4560706248519</v>
      </c>
      <c r="N15" s="224">
        <f t="shared" si="5"/>
        <v>1684.9042850448639</v>
      </c>
      <c r="O15" s="76">
        <v>55500</v>
      </c>
      <c r="P15" s="64">
        <f t="shared" si="6"/>
        <v>17500</v>
      </c>
      <c r="Q15" s="135">
        <v>17500</v>
      </c>
      <c r="R15" s="278">
        <v>0</v>
      </c>
      <c r="T15" s="208">
        <f t="shared" si="7"/>
        <v>17500</v>
      </c>
      <c r="U15" s="207">
        <f t="shared" si="8"/>
        <v>17500</v>
      </c>
      <c r="V15" s="209">
        <f t="shared" si="9"/>
        <v>17500</v>
      </c>
    </row>
    <row r="16" spans="1:32" x14ac:dyDescent="0.3">
      <c r="A16" s="176">
        <v>5140</v>
      </c>
      <c r="B16" s="145" t="s">
        <v>110</v>
      </c>
      <c r="C16" s="224">
        <v>7292.4555912856122</v>
      </c>
      <c r="D16" s="224">
        <v>7095.5629194734875</v>
      </c>
      <c r="E16" s="224">
        <v>5667.8520478116097</v>
      </c>
      <c r="F16" s="224">
        <v>5346.8519486379737</v>
      </c>
      <c r="G16" s="224">
        <v>4040.3339176313366</v>
      </c>
      <c r="H16" s="224">
        <v>4677.0286587013707</v>
      </c>
      <c r="I16" s="224">
        <v>4546.119459602859</v>
      </c>
      <c r="J16" s="224">
        <v>5771.6784121309192</v>
      </c>
      <c r="K16" s="224">
        <v>4992.3726573327749</v>
      </c>
      <c r="L16" s="224">
        <v>7044.8275544029375</v>
      </c>
      <c r="M16" s="224">
        <v>8592.4555912856122</v>
      </c>
      <c r="N16" s="224">
        <v>6932.177629898868</v>
      </c>
      <c r="O16" s="76">
        <v>60000</v>
      </c>
      <c r="P16" s="64">
        <f t="shared" si="6"/>
        <v>71999.71638819536</v>
      </c>
      <c r="Q16" s="135">
        <v>72000</v>
      </c>
      <c r="R16" s="278">
        <v>0</v>
      </c>
      <c r="T16" s="208">
        <f t="shared" si="7"/>
        <v>71999.71638819536</v>
      </c>
      <c r="U16" s="207">
        <f t="shared" si="8"/>
        <v>71999.71638819536</v>
      </c>
      <c r="V16" s="209">
        <f t="shared" si="9"/>
        <v>71999.71638819536</v>
      </c>
    </row>
    <row r="17" spans="1:22" x14ac:dyDescent="0.3">
      <c r="A17" s="176">
        <v>5150</v>
      </c>
      <c r="B17" s="145" t="s">
        <v>111</v>
      </c>
      <c r="C17" s="224">
        <f t="shared" ref="C17:N17" si="10">(C$5/$Q$5)*$Q17</f>
        <v>1054.5463260713439</v>
      </c>
      <c r="D17" s="224">
        <f t="shared" si="10"/>
        <v>943.80243289457269</v>
      </c>
      <c r="E17" s="224">
        <f t="shared" si="10"/>
        <v>814.87670650967482</v>
      </c>
      <c r="F17" s="224">
        <f t="shared" si="10"/>
        <v>714.87662386497857</v>
      </c>
      <c r="G17" s="224">
        <f t="shared" si="10"/>
        <v>561.15748855990796</v>
      </c>
      <c r="H17" s="224">
        <f t="shared" si="10"/>
        <v>649.58731370852365</v>
      </c>
      <c r="I17" s="224">
        <f t="shared" si="10"/>
        <v>631.40548050039718</v>
      </c>
      <c r="J17" s="224">
        <f t="shared" si="10"/>
        <v>732.23201010909929</v>
      </c>
      <c r="K17" s="224">
        <f t="shared" si="10"/>
        <v>762.81054777731231</v>
      </c>
      <c r="L17" s="224">
        <f t="shared" si="10"/>
        <v>1117.3562953357814</v>
      </c>
      <c r="M17" s="224">
        <f t="shared" si="10"/>
        <v>1054.5463260713439</v>
      </c>
      <c r="N17" s="224">
        <f t="shared" si="10"/>
        <v>962.80244859706499</v>
      </c>
      <c r="O17" s="76"/>
      <c r="P17" s="64">
        <f t="shared" si="6"/>
        <v>10000.000000000002</v>
      </c>
      <c r="Q17" s="135">
        <v>10000</v>
      </c>
      <c r="R17" s="278">
        <v>0</v>
      </c>
      <c r="T17" s="208">
        <f t="shared" si="7"/>
        <v>10000.000000000002</v>
      </c>
      <c r="U17" s="207">
        <f t="shared" si="8"/>
        <v>10000.000000000002</v>
      </c>
      <c r="V17" s="209">
        <f t="shared" si="9"/>
        <v>10000.000000000002</v>
      </c>
    </row>
    <row r="18" spans="1:22" x14ac:dyDescent="0.3">
      <c r="A18" s="178"/>
      <c r="B18" s="131" t="s">
        <v>112</v>
      </c>
      <c r="C18" s="69">
        <f t="shared" ref="C18:O18" si="11">SUM(C13:C17)</f>
        <v>57432.969756999795</v>
      </c>
      <c r="D18" s="69">
        <f t="shared" si="11"/>
        <v>51970.537196311736</v>
      </c>
      <c r="E18" s="69">
        <f t="shared" si="11"/>
        <v>44412.794812227126</v>
      </c>
      <c r="F18" s="69">
        <f t="shared" si="11"/>
        <v>39337.090783546104</v>
      </c>
      <c r="G18" s="69">
        <f t="shared" si="11"/>
        <v>30721.689026189273</v>
      </c>
      <c r="H18" s="69">
        <f t="shared" si="11"/>
        <v>35562.95666360054</v>
      </c>
      <c r="I18" s="69">
        <f t="shared" si="11"/>
        <v>34567.555840955247</v>
      </c>
      <c r="J18" s="69">
        <f t="shared" si="11"/>
        <v>40587.113796788268</v>
      </c>
      <c r="K18" s="69">
        <f t="shared" si="11"/>
        <v>41261.725772500642</v>
      </c>
      <c r="L18" s="69">
        <f t="shared" si="11"/>
        <v>60171.767328733331</v>
      </c>
      <c r="M18" s="69">
        <f t="shared" si="11"/>
        <v>58732.969756999795</v>
      </c>
      <c r="N18" s="69">
        <f t="shared" si="11"/>
        <v>52710.545653343514</v>
      </c>
      <c r="O18" s="69">
        <f t="shared" si="11"/>
        <v>686970</v>
      </c>
      <c r="P18" s="69">
        <f>SUM(P13:P17)</f>
        <v>547469.7163881954</v>
      </c>
      <c r="Q18" s="136">
        <v>408524</v>
      </c>
      <c r="T18" s="69">
        <f>SUM(T13:T17)</f>
        <v>547469.7163881954</v>
      </c>
      <c r="U18" s="69">
        <f t="shared" ref="U18:V18" si="12">SUM(U13:U17)</f>
        <v>547469.7163881954</v>
      </c>
      <c r="V18" s="69">
        <f t="shared" si="12"/>
        <v>547469.7163881954</v>
      </c>
    </row>
    <row r="19" spans="1:22" x14ac:dyDescent="0.3">
      <c r="A19" s="177"/>
      <c r="B19" s="82" t="s">
        <v>69</v>
      </c>
      <c r="C19" s="83">
        <f>SUM(C5-C18)</f>
        <v>25507.030243000205</v>
      </c>
      <c r="D19" s="83">
        <f t="shared" ref="D19:N19" si="13">SUM(D5-D18)</f>
        <v>22259.462803688264</v>
      </c>
      <c r="E19" s="83">
        <f t="shared" si="13"/>
        <v>19677.205187772874</v>
      </c>
      <c r="F19" s="83">
        <f t="shared" si="13"/>
        <v>16887.909216453903</v>
      </c>
      <c r="G19" s="83">
        <f t="shared" si="13"/>
        <v>13413.310973810727</v>
      </c>
      <c r="H19" s="83">
        <f t="shared" si="13"/>
        <v>15527.04333639946</v>
      </c>
      <c r="I19" s="83">
        <f t="shared" si="13"/>
        <v>15092.444159044753</v>
      </c>
      <c r="J19" s="83">
        <f t="shared" si="13"/>
        <v>17002.886203211732</v>
      </c>
      <c r="K19" s="83">
        <f t="shared" si="13"/>
        <v>18733.274227499358</v>
      </c>
      <c r="L19" s="83">
        <f t="shared" si="13"/>
        <v>27708.232671266669</v>
      </c>
      <c r="M19" s="83">
        <f t="shared" si="13"/>
        <v>24207.030243000205</v>
      </c>
      <c r="N19" s="83">
        <f t="shared" si="13"/>
        <v>23013.804346656492</v>
      </c>
      <c r="O19" s="83">
        <f>SUM(O5-O18)</f>
        <v>-686970</v>
      </c>
      <c r="P19" s="83">
        <f>SUM(P5-P18)</f>
        <v>239029.63361180457</v>
      </c>
      <c r="Q19" s="138">
        <v>801476</v>
      </c>
      <c r="R19" s="240"/>
      <c r="T19" s="83">
        <f>SUM(T5-T18)</f>
        <v>239029.63361180457</v>
      </c>
      <c r="U19" s="83">
        <f t="shared" ref="U19:V19" si="14">SUM(U5-U18)</f>
        <v>239029.63361180457</v>
      </c>
      <c r="V19" s="83">
        <f t="shared" si="14"/>
        <v>239029.63361180457</v>
      </c>
    </row>
    <row r="20" spans="1:22" x14ac:dyDescent="0.3">
      <c r="A20" s="175"/>
      <c r="B20" s="84" t="s">
        <v>70</v>
      </c>
      <c r="C20" s="85">
        <f t="shared" ref="C20:O20" si="15">(C5-C18)/C5</f>
        <v>0.30753593251748501</v>
      </c>
      <c r="D20" s="85">
        <f t="shared" si="15"/>
        <v>0.29987151830376213</v>
      </c>
      <c r="E20" s="85">
        <f t="shared" si="15"/>
        <v>0.30702457774649516</v>
      </c>
      <c r="F20" s="85">
        <f t="shared" si="15"/>
        <v>0.30036299184444465</v>
      </c>
      <c r="G20" s="85">
        <f t="shared" si="15"/>
        <v>0.30391550863964489</v>
      </c>
      <c r="H20" s="85">
        <f t="shared" si="15"/>
        <v>0.30391550863964495</v>
      </c>
      <c r="I20" s="85">
        <f t="shared" si="15"/>
        <v>0.30391550863964467</v>
      </c>
      <c r="J20" s="85">
        <f t="shared" si="15"/>
        <v>0.2952402535720044</v>
      </c>
      <c r="K20" s="85">
        <f t="shared" si="15"/>
        <v>0.31224725772980011</v>
      </c>
      <c r="L20" s="85">
        <f t="shared" si="15"/>
        <v>0.3152962297595206</v>
      </c>
      <c r="M20" s="85">
        <f t="shared" si="15"/>
        <v>0.29186195132626241</v>
      </c>
      <c r="N20" s="85">
        <f t="shared" si="15"/>
        <v>0.30391550863964484</v>
      </c>
      <c r="O20" s="85" t="e">
        <f t="shared" si="15"/>
        <v>#DIV/0!</v>
      </c>
      <c r="P20" s="85">
        <f>(P5-P18)/P5</f>
        <v>0.30391586923982145</v>
      </c>
      <c r="Q20" s="124">
        <v>0.32475316095302559</v>
      </c>
      <c r="R20" s="236"/>
      <c r="T20" s="85">
        <f>(T5-T18)/T5</f>
        <v>0.30391586923982145</v>
      </c>
      <c r="U20" s="85">
        <f t="shared" ref="U20:V20" si="16">(U5-U18)/U5</f>
        <v>0.30391586923982145</v>
      </c>
      <c r="V20" s="85">
        <f t="shared" si="16"/>
        <v>0.30391586923982145</v>
      </c>
    </row>
    <row r="21" spans="1:22" x14ac:dyDescent="0.3">
      <c r="A21" s="175"/>
      <c r="B21" s="47"/>
      <c r="C21" s="24"/>
      <c r="D21" s="24"/>
      <c r="E21" s="24"/>
      <c r="F21" s="24"/>
      <c r="G21" s="24"/>
      <c r="H21" s="24"/>
      <c r="I21" s="24"/>
      <c r="J21" s="24"/>
      <c r="K21" s="24"/>
      <c r="L21" s="24"/>
      <c r="M21" s="24"/>
      <c r="N21" s="24"/>
      <c r="O21" s="24"/>
      <c r="P21" s="24"/>
      <c r="Q21" s="24"/>
      <c r="R21" s="236"/>
    </row>
    <row r="22" spans="1:22" x14ac:dyDescent="0.3">
      <c r="A22" s="175"/>
      <c r="B22" s="101" t="s">
        <v>113</v>
      </c>
      <c r="C22" s="9"/>
      <c r="D22" s="5"/>
      <c r="E22" s="5"/>
      <c r="F22" s="5"/>
      <c r="G22" s="5"/>
      <c r="H22" s="6"/>
      <c r="I22" s="6"/>
      <c r="J22" s="6"/>
      <c r="K22" s="6"/>
      <c r="L22" s="6"/>
      <c r="M22" s="6"/>
      <c r="N22" s="6"/>
      <c r="O22" s="7"/>
      <c r="P22" s="170">
        <f>$V$6/$V$9</f>
        <v>0.11999988694216183</v>
      </c>
      <c r="Q22" s="8"/>
      <c r="R22" s="277" t="s">
        <v>134</v>
      </c>
    </row>
    <row r="23" spans="1:22" x14ac:dyDescent="0.3">
      <c r="A23" s="175">
        <v>5210</v>
      </c>
      <c r="B23" s="145" t="s">
        <v>114</v>
      </c>
      <c r="C23" s="225">
        <v>10018.1900976778</v>
      </c>
      <c r="D23" s="225">
        <v>6966.1231124984397</v>
      </c>
      <c r="E23" s="225">
        <v>6241.3287118419103</v>
      </c>
      <c r="F23" s="225">
        <v>6291.3279267172902</v>
      </c>
      <c r="G23" s="225">
        <v>4130.9961413191204</v>
      </c>
      <c r="H23" s="225">
        <v>5371.0794802309701</v>
      </c>
      <c r="I23" s="225">
        <v>5998.3520647537698</v>
      </c>
      <c r="J23" s="225">
        <v>4956.2040960364402</v>
      </c>
      <c r="K23" s="225">
        <v>7246.7002038844703</v>
      </c>
      <c r="L23" s="225">
        <v>9614.8848056899005</v>
      </c>
      <c r="M23" s="225">
        <v>9018.1900976777997</v>
      </c>
      <c r="N23" s="225">
        <v>9146.6232616721009</v>
      </c>
      <c r="O23" s="97">
        <f>SUM(C23:N23)</f>
        <v>85000.000000000015</v>
      </c>
      <c r="P23" s="64">
        <f>SUM(C23:N23)</f>
        <v>85000.000000000015</v>
      </c>
      <c r="Q23" s="135">
        <v>95000</v>
      </c>
      <c r="R23" s="278">
        <v>0</v>
      </c>
      <c r="S23" s="246" t="s">
        <v>135</v>
      </c>
      <c r="T23" s="208">
        <f t="shared" ref="T23:T24" si="17">(P23+(P23*R23))</f>
        <v>85000.000000000015</v>
      </c>
      <c r="U23" s="207">
        <f t="shared" ref="U23:U24" si="18">P23</f>
        <v>85000.000000000015</v>
      </c>
      <c r="V23" s="209">
        <f t="shared" ref="V23:V24" si="19">T23</f>
        <v>85000.000000000015</v>
      </c>
    </row>
    <row r="24" spans="1:22" x14ac:dyDescent="0.3">
      <c r="A24" s="175">
        <v>5220</v>
      </c>
      <c r="B24" s="145" t="s">
        <v>109</v>
      </c>
      <c r="C24" s="225">
        <v>1101.81900976778</v>
      </c>
      <c r="D24" s="225">
        <v>796.61231124984397</v>
      </c>
      <c r="E24" s="225">
        <v>724.13287118419112</v>
      </c>
      <c r="F24" s="225">
        <v>729.13279267172902</v>
      </c>
      <c r="G24" s="225">
        <v>513.09961413191206</v>
      </c>
      <c r="H24" s="225">
        <v>637.10794802309704</v>
      </c>
      <c r="I24" s="225">
        <v>699.83520647537705</v>
      </c>
      <c r="J24" s="225">
        <v>595.62040960364402</v>
      </c>
      <c r="K24" s="225">
        <v>824.67002038844703</v>
      </c>
      <c r="L24" s="225">
        <v>961.4884805689901</v>
      </c>
      <c r="M24" s="225">
        <v>901.81900976778002</v>
      </c>
      <c r="N24" s="225">
        <v>1014.6623261672102</v>
      </c>
      <c r="O24" s="97"/>
      <c r="P24" s="64">
        <f>SUM(C24:N24)</f>
        <v>9500.0000000000018</v>
      </c>
      <c r="Q24" s="135">
        <v>9000</v>
      </c>
      <c r="R24" s="278">
        <v>0</v>
      </c>
      <c r="T24" s="208">
        <f t="shared" si="17"/>
        <v>9500.0000000000018</v>
      </c>
      <c r="U24" s="207">
        <f t="shared" si="18"/>
        <v>9500.0000000000018</v>
      </c>
      <c r="V24" s="209">
        <f t="shared" si="19"/>
        <v>9500.0000000000018</v>
      </c>
    </row>
    <row r="25" spans="1:22" x14ac:dyDescent="0.3">
      <c r="A25" s="175"/>
      <c r="B25" s="101" t="s">
        <v>115</v>
      </c>
      <c r="C25" s="67">
        <f t="shared" ref="C25:O25" si="20">SUM(C23:C24)</f>
        <v>11120.00910744558</v>
      </c>
      <c r="D25" s="67">
        <f t="shared" si="20"/>
        <v>7762.7354237482832</v>
      </c>
      <c r="E25" s="67">
        <f t="shared" si="20"/>
        <v>6965.4615830261009</v>
      </c>
      <c r="F25" s="67">
        <f t="shared" si="20"/>
        <v>7020.4607193890188</v>
      </c>
      <c r="G25" s="67">
        <f t="shared" si="20"/>
        <v>4644.0957554510323</v>
      </c>
      <c r="H25" s="67">
        <f t="shared" si="20"/>
        <v>6008.1874282540675</v>
      </c>
      <c r="I25" s="67">
        <f t="shared" si="20"/>
        <v>6698.187271229147</v>
      </c>
      <c r="J25" s="67">
        <f t="shared" si="20"/>
        <v>5551.8245056400847</v>
      </c>
      <c r="K25" s="67">
        <f t="shared" si="20"/>
        <v>8071.3702242729178</v>
      </c>
      <c r="L25" s="67">
        <f t="shared" si="20"/>
        <v>10576.373286258891</v>
      </c>
      <c r="M25" s="67">
        <f t="shared" si="20"/>
        <v>9920.0091074455795</v>
      </c>
      <c r="N25" s="67">
        <f t="shared" si="20"/>
        <v>10161.285587839311</v>
      </c>
      <c r="O25" s="67">
        <f t="shared" si="20"/>
        <v>85000.000000000015</v>
      </c>
      <c r="P25" s="67">
        <f>SUM(P23:P24)</f>
        <v>94500.000000000015</v>
      </c>
      <c r="Q25" s="80">
        <f>SUM(Q23:Q23)</f>
        <v>95000</v>
      </c>
      <c r="R25" s="242"/>
      <c r="T25" s="67">
        <f>SUM(T23:T24)</f>
        <v>94500.000000000015</v>
      </c>
      <c r="U25" s="67">
        <f t="shared" ref="U25:V25" si="21">SUM(U23:U24)</f>
        <v>94500.000000000015</v>
      </c>
      <c r="V25" s="67">
        <f t="shared" si="21"/>
        <v>94500.000000000015</v>
      </c>
    </row>
    <row r="26" spans="1:22" x14ac:dyDescent="0.3">
      <c r="A26" s="175"/>
      <c r="B26" s="129" t="s">
        <v>69</v>
      </c>
      <c r="C26" s="153">
        <f t="shared" ref="C26:P26" si="22">SUM(C6-C25)</f>
        <v>4191.9908925544205</v>
      </c>
      <c r="D26" s="83">
        <f t="shared" si="22"/>
        <v>5941.2645762517168</v>
      </c>
      <c r="E26" s="83">
        <f t="shared" si="22"/>
        <v>4866.5384169738991</v>
      </c>
      <c r="F26" s="83">
        <f t="shared" si="22"/>
        <v>3359.5392806109812</v>
      </c>
      <c r="G26" s="83">
        <f t="shared" si="22"/>
        <v>3503.9042445489677</v>
      </c>
      <c r="H26" s="83">
        <f t="shared" si="22"/>
        <v>3423.8125717459325</v>
      </c>
      <c r="I26" s="83">
        <f t="shared" si="22"/>
        <v>2469.812728770853</v>
      </c>
      <c r="J26" s="83">
        <f t="shared" si="22"/>
        <v>5080.1754943599153</v>
      </c>
      <c r="K26" s="83">
        <f t="shared" si="22"/>
        <v>3004.6297757270822</v>
      </c>
      <c r="L26" s="83">
        <f t="shared" si="22"/>
        <v>5647.6267137411087</v>
      </c>
      <c r="M26" s="83">
        <f t="shared" si="22"/>
        <v>5391.9908925544205</v>
      </c>
      <c r="N26" s="83">
        <f t="shared" si="22"/>
        <v>3818.5944121606917</v>
      </c>
      <c r="O26" s="83">
        <f t="shared" si="22"/>
        <v>-85000.000000000015</v>
      </c>
      <c r="P26" s="83">
        <f t="shared" si="22"/>
        <v>50699.87999999999</v>
      </c>
      <c r="Q26" s="138">
        <v>718205.2</v>
      </c>
      <c r="R26" s="235"/>
      <c r="T26" s="83">
        <f t="shared" ref="T26:V26" si="23">SUM(T6-T25)</f>
        <v>50699.87999999999</v>
      </c>
      <c r="U26" s="83">
        <f t="shared" si="23"/>
        <v>50699.87999999999</v>
      </c>
      <c r="V26" s="83">
        <f t="shared" si="23"/>
        <v>50699.87999999999</v>
      </c>
    </row>
    <row r="27" spans="1:22" x14ac:dyDescent="0.3">
      <c r="A27" s="175"/>
      <c r="B27" s="154" t="s">
        <v>70</v>
      </c>
      <c r="C27" s="85">
        <f t="shared" ref="C27:O27" si="24">SUM(C6-C25)/C6</f>
        <v>0.27377161001530959</v>
      </c>
      <c r="D27" s="85">
        <f t="shared" si="24"/>
        <v>0.43354236545911534</v>
      </c>
      <c r="E27" s="85">
        <f t="shared" si="24"/>
        <v>0.41130311164417671</v>
      </c>
      <c r="F27" s="85">
        <f t="shared" si="24"/>
        <v>0.3236550366677246</v>
      </c>
      <c r="G27" s="85">
        <f t="shared" si="24"/>
        <v>0.43003243060247515</v>
      </c>
      <c r="H27" s="85">
        <f t="shared" si="24"/>
        <v>0.36299963652946698</v>
      </c>
      <c r="I27" s="85">
        <f t="shared" si="24"/>
        <v>0.26939493114865326</v>
      </c>
      <c r="J27" s="85">
        <f t="shared" si="24"/>
        <v>0.47781936553422832</v>
      </c>
      <c r="K27" s="85">
        <f t="shared" si="24"/>
        <v>0.27127390535636353</v>
      </c>
      <c r="L27" s="85">
        <f t="shared" si="24"/>
        <v>0.34810322446629122</v>
      </c>
      <c r="M27" s="85">
        <f t="shared" si="24"/>
        <v>0.35214151597142246</v>
      </c>
      <c r="N27" s="85">
        <f t="shared" si="24"/>
        <v>0.27314929828873286</v>
      </c>
      <c r="O27" s="85" t="e">
        <f t="shared" si="24"/>
        <v>#DIV/0!</v>
      </c>
      <c r="P27" s="85">
        <f>SUM(P6-P25)/P6</f>
        <v>0.34917301584546756</v>
      </c>
      <c r="Q27" s="124">
        <v>0.31181100149669538</v>
      </c>
      <c r="R27" s="235"/>
      <c r="T27" s="85">
        <f>SUM(T6-T25)/T6</f>
        <v>0.34917301584546756</v>
      </c>
      <c r="U27" s="85">
        <f t="shared" ref="U27:V27" si="25">SUM(U6-U25)/U6</f>
        <v>0.34917301584546756</v>
      </c>
      <c r="V27" s="85">
        <f t="shared" si="25"/>
        <v>0.34917301584546756</v>
      </c>
    </row>
    <row r="28" spans="1:22" x14ac:dyDescent="0.3">
      <c r="A28" s="175"/>
      <c r="B28" s="47"/>
      <c r="C28" s="23"/>
      <c r="D28" s="23"/>
      <c r="E28" s="23"/>
      <c r="F28" s="23"/>
      <c r="G28" s="23"/>
      <c r="H28" s="23"/>
      <c r="I28" s="23"/>
      <c r="J28" s="23"/>
      <c r="K28" s="23"/>
      <c r="L28" s="23"/>
      <c r="M28" s="23"/>
      <c r="N28" s="23"/>
      <c r="O28" s="23"/>
      <c r="P28" s="24"/>
      <c r="Q28" s="24"/>
      <c r="R28" s="235"/>
    </row>
    <row r="29" spans="1:22" x14ac:dyDescent="0.3">
      <c r="A29" s="175"/>
      <c r="B29" s="167" t="s">
        <v>116</v>
      </c>
      <c r="C29" s="9"/>
      <c r="D29" s="5"/>
      <c r="E29" s="5"/>
      <c r="F29" s="5"/>
      <c r="G29" s="5"/>
      <c r="H29" s="6"/>
      <c r="I29" s="6"/>
      <c r="J29" s="6"/>
      <c r="K29" s="6"/>
      <c r="L29" s="6"/>
      <c r="M29" s="6"/>
      <c r="N29" s="6"/>
      <c r="O29" s="7"/>
      <c r="P29" s="170">
        <f>$V$7/$V$9</f>
        <v>8.9999915206621373E-2</v>
      </c>
      <c r="Q29" s="8"/>
      <c r="R29" s="277" t="s">
        <v>134</v>
      </c>
    </row>
    <row r="30" spans="1:22" x14ac:dyDescent="0.3">
      <c r="A30" s="175">
        <v>5310</v>
      </c>
      <c r="B30" s="86" t="s">
        <v>117</v>
      </c>
      <c r="C30" s="226">
        <f t="shared" ref="C30:N30" si="26">(C$7/$Q$7)*$Q30</f>
        <v>1898.1833869284187</v>
      </c>
      <c r="D30" s="227">
        <f t="shared" si="26"/>
        <v>1698.8443792102307</v>
      </c>
      <c r="E30" s="227">
        <f t="shared" si="26"/>
        <v>1466.7780717174146</v>
      </c>
      <c r="F30" s="227">
        <f t="shared" si="26"/>
        <v>1286.7779229569612</v>
      </c>
      <c r="G30" s="227">
        <f t="shared" si="26"/>
        <v>1010.0834794078341</v>
      </c>
      <c r="H30" s="227">
        <f t="shared" si="26"/>
        <v>1169.2571646753427</v>
      </c>
      <c r="I30" s="227">
        <f t="shared" si="26"/>
        <v>1136.5298649007148</v>
      </c>
      <c r="J30" s="227">
        <f t="shared" si="26"/>
        <v>1318.0176181963786</v>
      </c>
      <c r="K30" s="227">
        <f t="shared" si="26"/>
        <v>1373.0589859991619</v>
      </c>
      <c r="L30" s="227">
        <f t="shared" si="26"/>
        <v>2011.2413316044062</v>
      </c>
      <c r="M30" s="227">
        <f t="shared" si="26"/>
        <v>1898.1833869284187</v>
      </c>
      <c r="N30" s="227">
        <f t="shared" si="26"/>
        <v>1733.0444074747168</v>
      </c>
      <c r="O30" s="76">
        <v>18000</v>
      </c>
      <c r="P30" s="64">
        <f t="shared" ref="P30:P32" si="27">SUM(C30:N30)</f>
        <v>17999.999999999996</v>
      </c>
      <c r="Q30" s="135">
        <v>18000</v>
      </c>
      <c r="R30" s="278">
        <v>0</v>
      </c>
      <c r="T30" s="208">
        <f t="shared" ref="T30:T32" si="28">(P30+(P30*R30))</f>
        <v>17999.999999999996</v>
      </c>
      <c r="U30" s="207">
        <f t="shared" ref="U30:U32" si="29">P30</f>
        <v>17999.999999999996</v>
      </c>
      <c r="V30" s="209">
        <f t="shared" ref="V30:V32" si="30">T30</f>
        <v>17999.999999999996</v>
      </c>
    </row>
    <row r="31" spans="1:22" x14ac:dyDescent="0.3">
      <c r="A31" s="175">
        <v>5320</v>
      </c>
      <c r="B31" s="168" t="s">
        <v>118</v>
      </c>
      <c r="C31" s="224">
        <v>3492.0690017099187</v>
      </c>
      <c r="D31" s="224">
        <v>3901.8214064639719</v>
      </c>
      <c r="E31" s="224">
        <v>2645.0435083004199</v>
      </c>
      <c r="F31" s="224">
        <v>3015.0438140857964</v>
      </c>
      <c r="G31" s="224">
        <v>3015.0438140857964</v>
      </c>
      <c r="H31" s="224">
        <v>2336.2002778514693</v>
      </c>
      <c r="I31" s="224">
        <v>2403.4730607215374</v>
      </c>
      <c r="J31" s="224">
        <v>2822.3990267760551</v>
      </c>
      <c r="K31" s="224">
        <v>2709.2584374036674</v>
      </c>
      <c r="L31" s="224">
        <v>3501.8214064639701</v>
      </c>
      <c r="M31" s="224">
        <v>4134.218292742391</v>
      </c>
      <c r="N31" s="224">
        <v>3023</v>
      </c>
      <c r="O31" s="76">
        <f>SUM(C31:N31)</f>
        <v>36999.392046604997</v>
      </c>
      <c r="P31" s="64">
        <f t="shared" si="27"/>
        <v>36999.392046604997</v>
      </c>
      <c r="Q31" s="135">
        <v>37000</v>
      </c>
      <c r="R31" s="278">
        <v>0</v>
      </c>
      <c r="T31" s="208">
        <f t="shared" si="28"/>
        <v>36999.392046604997</v>
      </c>
      <c r="U31" s="207">
        <f t="shared" si="29"/>
        <v>36999.392046604997</v>
      </c>
      <c r="V31" s="209">
        <f t="shared" si="30"/>
        <v>36999.392046604997</v>
      </c>
    </row>
    <row r="32" spans="1:22" x14ac:dyDescent="0.3">
      <c r="A32" s="175">
        <v>5330</v>
      </c>
      <c r="B32" s="145" t="s">
        <v>119</v>
      </c>
      <c r="C32" s="227">
        <f t="shared" ref="C32:N32" si="31">(C$7/$Q$7)*$Q32</f>
        <v>5140.702430332587</v>
      </c>
      <c r="D32" s="227">
        <f t="shared" si="31"/>
        <v>4600.8480998744626</v>
      </c>
      <c r="E32" s="227">
        <f t="shared" si="31"/>
        <v>3972.3609688933625</v>
      </c>
      <c r="F32" s="227">
        <f t="shared" si="31"/>
        <v>3484.8805660169969</v>
      </c>
      <c r="G32" s="227">
        <f t="shared" si="31"/>
        <v>2735.530525231839</v>
      </c>
      <c r="H32" s="227">
        <f t="shared" si="31"/>
        <v>3166.6082368663115</v>
      </c>
      <c r="I32" s="227">
        <f t="shared" si="31"/>
        <v>3077.9754363433358</v>
      </c>
      <c r="J32" s="227">
        <f t="shared" si="31"/>
        <v>3569.484602879837</v>
      </c>
      <c r="K32" s="227">
        <f t="shared" si="31"/>
        <v>3718.5488583048414</v>
      </c>
      <c r="L32" s="227">
        <f t="shared" si="31"/>
        <v>5446.888468502867</v>
      </c>
      <c r="M32" s="227">
        <f t="shared" si="31"/>
        <v>5140.702430332587</v>
      </c>
      <c r="N32" s="227">
        <f t="shared" si="31"/>
        <v>4693.4693764209715</v>
      </c>
      <c r="O32" s="76">
        <v>48500</v>
      </c>
      <c r="P32" s="64">
        <f t="shared" si="27"/>
        <v>48748.000000000007</v>
      </c>
      <c r="Q32" s="135">
        <v>48748</v>
      </c>
      <c r="R32" s="278">
        <v>0</v>
      </c>
      <c r="T32" s="208">
        <f t="shared" si="28"/>
        <v>48748.000000000007</v>
      </c>
      <c r="U32" s="207">
        <f t="shared" si="29"/>
        <v>48748.000000000007</v>
      </c>
      <c r="V32" s="209">
        <f t="shared" si="30"/>
        <v>48748.000000000007</v>
      </c>
    </row>
    <row r="33" spans="1:22" x14ac:dyDescent="0.3">
      <c r="A33" s="175"/>
      <c r="B33" s="101" t="s">
        <v>120</v>
      </c>
      <c r="C33" s="66">
        <f t="shared" ref="C33:N33" si="32">SUM(C30:C32)</f>
        <v>10530.954818970924</v>
      </c>
      <c r="D33" s="67">
        <f t="shared" si="32"/>
        <v>10201.513885548666</v>
      </c>
      <c r="E33" s="67">
        <f t="shared" si="32"/>
        <v>8084.182548911198</v>
      </c>
      <c r="F33" s="67">
        <f t="shared" si="32"/>
        <v>7786.7023030597538</v>
      </c>
      <c r="G33" s="67">
        <f t="shared" si="32"/>
        <v>6760.657818725469</v>
      </c>
      <c r="H33" s="67">
        <f t="shared" si="32"/>
        <v>6672.065679393123</v>
      </c>
      <c r="I33" s="67">
        <f t="shared" si="32"/>
        <v>6617.9783619655882</v>
      </c>
      <c r="J33" s="67">
        <f t="shared" si="32"/>
        <v>7709.9012478522709</v>
      </c>
      <c r="K33" s="67">
        <f t="shared" si="32"/>
        <v>7800.8662817076711</v>
      </c>
      <c r="L33" s="67">
        <f t="shared" si="32"/>
        <v>10959.951206571244</v>
      </c>
      <c r="M33" s="67">
        <f t="shared" si="32"/>
        <v>11173.104110003396</v>
      </c>
      <c r="N33" s="67">
        <f t="shared" si="32"/>
        <v>9449.5137838956871</v>
      </c>
      <c r="O33" s="163"/>
      <c r="P33" s="69">
        <f>SUM(P30:P32)</f>
        <v>103747.392046605</v>
      </c>
      <c r="Q33" s="136">
        <v>173206.2</v>
      </c>
      <c r="R33" s="242"/>
      <c r="T33" s="69">
        <f>SUM(T30:T32)</f>
        <v>103747.392046605</v>
      </c>
      <c r="U33" s="69">
        <f t="shared" ref="U33:V33" si="33">SUM(U30:U32)</f>
        <v>103747.392046605</v>
      </c>
      <c r="V33" s="69">
        <f t="shared" si="33"/>
        <v>103747.392046605</v>
      </c>
    </row>
    <row r="34" spans="1:22" x14ac:dyDescent="0.3">
      <c r="A34" s="175"/>
      <c r="B34" s="129" t="s">
        <v>69</v>
      </c>
      <c r="C34" s="83">
        <f t="shared" ref="C34:P34" si="34">SUM(C7-C33)</f>
        <v>953.04518102907605</v>
      </c>
      <c r="D34" s="83">
        <f t="shared" si="34"/>
        <v>76.486114451334288</v>
      </c>
      <c r="E34" s="83">
        <f t="shared" si="34"/>
        <v>789.81745108880204</v>
      </c>
      <c r="F34" s="83">
        <f t="shared" si="34"/>
        <v>-1.7023030597529214</v>
      </c>
      <c r="G34" s="83">
        <f t="shared" si="34"/>
        <v>-649.65781872546904</v>
      </c>
      <c r="H34" s="83">
        <f t="shared" si="34"/>
        <v>401.93432060687701</v>
      </c>
      <c r="I34" s="83">
        <f t="shared" si="34"/>
        <v>258.02163803441181</v>
      </c>
      <c r="J34" s="83">
        <f t="shared" si="34"/>
        <v>264.0987521477291</v>
      </c>
      <c r="K34" s="83">
        <f t="shared" si="34"/>
        <v>506.13371829232892</v>
      </c>
      <c r="L34" s="83">
        <f t="shared" si="34"/>
        <v>1208.0487934287557</v>
      </c>
      <c r="M34" s="83">
        <f t="shared" si="34"/>
        <v>310.89588999660373</v>
      </c>
      <c r="N34" s="83">
        <f t="shared" si="34"/>
        <v>1035.3962161043128</v>
      </c>
      <c r="O34" s="83">
        <f t="shared" si="34"/>
        <v>0</v>
      </c>
      <c r="P34" s="83">
        <f t="shared" si="34"/>
        <v>5152.5179533949995</v>
      </c>
      <c r="Q34" s="138">
        <v>544999</v>
      </c>
      <c r="R34" s="235"/>
      <c r="T34" s="83">
        <f t="shared" ref="T34:V34" si="35">SUM(T7-T33)</f>
        <v>5152.5179533949995</v>
      </c>
      <c r="U34" s="83">
        <f t="shared" si="35"/>
        <v>5152.5179533949995</v>
      </c>
      <c r="V34" s="83">
        <f t="shared" si="35"/>
        <v>5152.5179533949995</v>
      </c>
    </row>
    <row r="35" spans="1:22" x14ac:dyDescent="0.3">
      <c r="A35" s="175"/>
      <c r="B35" s="130" t="s">
        <v>70</v>
      </c>
      <c r="C35" s="128">
        <f t="shared" ref="C35:O35" si="36">SUM(C7-C33)/C7</f>
        <v>8.2988956899083602E-2</v>
      </c>
      <c r="D35" s="128">
        <f t="shared" si="36"/>
        <v>7.4417313145878853E-3</v>
      </c>
      <c r="E35" s="128">
        <f t="shared" si="36"/>
        <v>8.9003544183998431E-2</v>
      </c>
      <c r="F35" s="128">
        <f t="shared" si="36"/>
        <v>-2.186644906554812E-4</v>
      </c>
      <c r="G35" s="128">
        <f t="shared" si="36"/>
        <v>-0.10630957596554885</v>
      </c>
      <c r="H35" s="128">
        <f t="shared" si="36"/>
        <v>5.6818535567836725E-2</v>
      </c>
      <c r="I35" s="128">
        <f t="shared" si="36"/>
        <v>3.7524961901456051E-2</v>
      </c>
      <c r="J35" s="128">
        <f t="shared" si="36"/>
        <v>3.3119983966356799E-2</v>
      </c>
      <c r="K35" s="128">
        <f t="shared" si="36"/>
        <v>6.0928580509489461E-2</v>
      </c>
      <c r="L35" s="128">
        <f t="shared" si="36"/>
        <v>9.9280801563835938E-2</v>
      </c>
      <c r="M35" s="128">
        <f t="shared" si="36"/>
        <v>2.7072090734639825E-2</v>
      </c>
      <c r="N35" s="128">
        <f t="shared" si="36"/>
        <v>9.8751082851861655E-2</v>
      </c>
      <c r="O35" s="128" t="e">
        <f t="shared" si="36"/>
        <v>#DIV/0!</v>
      </c>
      <c r="P35" s="128">
        <f>SUM(P7-P33)/P7</f>
        <v>4.7314253550760507E-2</v>
      </c>
      <c r="Q35" s="124">
        <v>4.5695079086842186E-2</v>
      </c>
      <c r="R35" s="235"/>
      <c r="T35" s="128">
        <f>SUM(T7-T33)/T7</f>
        <v>4.7314253550760507E-2</v>
      </c>
      <c r="U35" s="128">
        <f t="shared" ref="U35:V35" si="37">SUM(U7-U33)/U7</f>
        <v>4.7314253550760507E-2</v>
      </c>
      <c r="V35" s="128">
        <f t="shared" si="37"/>
        <v>4.7314253550760507E-2</v>
      </c>
    </row>
    <row r="36" spans="1:22" x14ac:dyDescent="0.3">
      <c r="A36" s="175"/>
      <c r="B36" s="47"/>
      <c r="C36" s="23"/>
      <c r="D36" s="23"/>
      <c r="E36" s="23"/>
      <c r="F36" s="23"/>
      <c r="G36" s="23"/>
      <c r="H36" s="23"/>
      <c r="I36" s="23"/>
      <c r="J36" s="23"/>
      <c r="K36" s="23"/>
      <c r="L36" s="23"/>
      <c r="M36" s="23"/>
      <c r="N36" s="23"/>
      <c r="O36" s="23"/>
      <c r="P36" s="24"/>
      <c r="Q36" s="24"/>
      <c r="R36" s="235"/>
    </row>
    <row r="37" spans="1:22" x14ac:dyDescent="0.3">
      <c r="A37" s="175"/>
      <c r="B37" s="101" t="s">
        <v>121</v>
      </c>
      <c r="C37" s="9"/>
      <c r="D37" s="5"/>
      <c r="E37" s="5"/>
      <c r="F37" s="5"/>
      <c r="G37" s="5"/>
      <c r="H37" s="6"/>
      <c r="I37" s="6"/>
      <c r="J37" s="6"/>
      <c r="K37" s="6"/>
      <c r="L37" s="6"/>
      <c r="M37" s="6"/>
      <c r="N37" s="6"/>
      <c r="O37" s="7"/>
      <c r="P37" s="170">
        <f>$V$8/$V$9</f>
        <v>0.14000081024784011</v>
      </c>
      <c r="Q37" s="8"/>
      <c r="R37" s="277" t="s">
        <v>134</v>
      </c>
    </row>
    <row r="38" spans="1:22" x14ac:dyDescent="0.3">
      <c r="A38" s="175">
        <v>5410</v>
      </c>
      <c r="B38" s="126" t="s">
        <v>118</v>
      </c>
      <c r="C38" s="227">
        <v>2599.8147337782329</v>
      </c>
      <c r="D38" s="227">
        <v>2692.2477582503134</v>
      </c>
      <c r="E38" s="227">
        <v>2391.855481800852</v>
      </c>
      <c r="F38" s="227">
        <v>2497.3634386344556</v>
      </c>
      <c r="G38" s="227">
        <v>2320.985558565927</v>
      </c>
      <c r="H38" s="227">
        <v>2222.7508981170959</v>
      </c>
      <c r="I38" s="227">
        <v>2432.0596148729514</v>
      </c>
      <c r="J38" s="227">
        <v>2373.4074836415684</v>
      </c>
      <c r="K38" s="227">
        <v>2661.5146719436784</v>
      </c>
      <c r="L38" s="227">
        <v>2514.6461509351616</v>
      </c>
      <c r="M38" s="227">
        <v>2638.5666869049919</v>
      </c>
      <c r="N38" s="227">
        <v>2654.8771470227803</v>
      </c>
      <c r="O38" s="76"/>
      <c r="P38" s="64">
        <f>SUM(C38:N38)</f>
        <v>30000.089624468008</v>
      </c>
      <c r="Q38" s="135">
        <v>30000</v>
      </c>
      <c r="R38" s="278">
        <v>0</v>
      </c>
      <c r="T38" s="208">
        <f t="shared" ref="T38:T43" si="38">(P38+(P38*R38))</f>
        <v>30000.089624468008</v>
      </c>
      <c r="U38" s="207">
        <f t="shared" ref="U38:U43" si="39">P38</f>
        <v>30000.089624468008</v>
      </c>
      <c r="V38" s="209">
        <f t="shared" ref="V38:V43" si="40">T38</f>
        <v>30000.089624468008</v>
      </c>
    </row>
    <row r="39" spans="1:22" x14ac:dyDescent="0.3">
      <c r="A39" s="175">
        <v>5420</v>
      </c>
      <c r="B39" s="126" t="s">
        <v>119</v>
      </c>
      <c r="C39" s="227">
        <f t="shared" ref="C39:N43" si="41">(C$8/$Q$8)*$Q39</f>
        <v>2692.2477582503134</v>
      </c>
      <c r="D39" s="227">
        <f t="shared" si="41"/>
        <v>2599.8147337782329</v>
      </c>
      <c r="E39" s="227">
        <f t="shared" si="41"/>
        <v>2497.3634386344556</v>
      </c>
      <c r="F39" s="227">
        <f t="shared" si="41"/>
        <v>2391.855481800852</v>
      </c>
      <c r="G39" s="227">
        <f t="shared" si="41"/>
        <v>2222.7508981170959</v>
      </c>
      <c r="H39" s="227">
        <f t="shared" si="41"/>
        <v>2320.985558565927</v>
      </c>
      <c r="I39" s="227">
        <f t="shared" si="41"/>
        <v>2373.4074836415684</v>
      </c>
      <c r="J39" s="227">
        <f t="shared" si="41"/>
        <v>2432.0596148729514</v>
      </c>
      <c r="K39" s="227">
        <f t="shared" si="41"/>
        <v>2514.6461509351616</v>
      </c>
      <c r="L39" s="227">
        <f t="shared" si="41"/>
        <v>2661.5146719436784</v>
      </c>
      <c r="M39" s="227">
        <f t="shared" si="41"/>
        <v>2654.8771470227803</v>
      </c>
      <c r="N39" s="227">
        <f t="shared" si="41"/>
        <v>2638.5666869049919</v>
      </c>
      <c r="O39" s="76">
        <v>30000</v>
      </c>
      <c r="P39" s="64">
        <f>SUM(C39:N39)</f>
        <v>30000.089624468008</v>
      </c>
      <c r="Q39" s="135">
        <v>30000</v>
      </c>
      <c r="R39" s="278">
        <v>0</v>
      </c>
      <c r="T39" s="208">
        <f t="shared" si="38"/>
        <v>30000.089624468008</v>
      </c>
      <c r="U39" s="207">
        <f t="shared" si="39"/>
        <v>30000.089624468008</v>
      </c>
      <c r="V39" s="209">
        <f t="shared" si="40"/>
        <v>30000.089624468008</v>
      </c>
    </row>
    <row r="40" spans="1:22" x14ac:dyDescent="0.3">
      <c r="A40" s="175">
        <v>5430</v>
      </c>
      <c r="B40" s="126" t="s">
        <v>85</v>
      </c>
      <c r="C40" s="227">
        <f t="shared" si="41"/>
        <v>753.82937231008771</v>
      </c>
      <c r="D40" s="227">
        <f t="shared" si="41"/>
        <v>727.94812545790523</v>
      </c>
      <c r="E40" s="227">
        <f t="shared" si="41"/>
        <v>699.26176281764754</v>
      </c>
      <c r="F40" s="227">
        <f t="shared" si="41"/>
        <v>669.71953490423857</v>
      </c>
      <c r="G40" s="227">
        <f t="shared" si="41"/>
        <v>622.37025147278678</v>
      </c>
      <c r="H40" s="227">
        <f t="shared" si="41"/>
        <v>649.87595639845949</v>
      </c>
      <c r="I40" s="227">
        <f t="shared" si="41"/>
        <v>664.55409541963911</v>
      </c>
      <c r="J40" s="227">
        <f t="shared" si="41"/>
        <v>680.97669216442637</v>
      </c>
      <c r="K40" s="227">
        <f t="shared" si="41"/>
        <v>704.1009222618452</v>
      </c>
      <c r="L40" s="227">
        <f t="shared" si="41"/>
        <v>745.22410814422994</v>
      </c>
      <c r="M40" s="227">
        <f t="shared" si="41"/>
        <v>743.3656011663785</v>
      </c>
      <c r="N40" s="227">
        <f t="shared" si="41"/>
        <v>738.79867233339769</v>
      </c>
      <c r="O40" s="76">
        <f>SUM(C40:N40)</f>
        <v>8400.025094851042</v>
      </c>
      <c r="P40" s="64">
        <f t="shared" ref="P40:P43" si="42">SUM(C40:N40)</f>
        <v>8400.025094851042</v>
      </c>
      <c r="Q40" s="135">
        <v>8400</v>
      </c>
      <c r="R40" s="278">
        <v>0</v>
      </c>
      <c r="T40" s="208">
        <f t="shared" si="38"/>
        <v>8400.025094851042</v>
      </c>
      <c r="U40" s="207">
        <f t="shared" si="39"/>
        <v>8400.025094851042</v>
      </c>
      <c r="V40" s="209">
        <f t="shared" si="40"/>
        <v>8400.025094851042</v>
      </c>
    </row>
    <row r="41" spans="1:22" x14ac:dyDescent="0.3">
      <c r="A41" s="175">
        <v>5440</v>
      </c>
      <c r="B41" s="126" t="s">
        <v>86</v>
      </c>
      <c r="C41" s="227">
        <f t="shared" si="41"/>
        <v>188.45734307752193</v>
      </c>
      <c r="D41" s="227">
        <f t="shared" si="41"/>
        <v>181.98703136447631</v>
      </c>
      <c r="E41" s="227">
        <f t="shared" si="41"/>
        <v>174.81544070441188</v>
      </c>
      <c r="F41" s="227">
        <f t="shared" si="41"/>
        <v>167.42988372605964</v>
      </c>
      <c r="G41" s="227">
        <f t="shared" si="41"/>
        <v>155.59256286819669</v>
      </c>
      <c r="H41" s="227">
        <f t="shared" si="41"/>
        <v>162.46898909961487</v>
      </c>
      <c r="I41" s="227">
        <f t="shared" si="41"/>
        <v>166.13852385490978</v>
      </c>
      <c r="J41" s="227">
        <f t="shared" si="41"/>
        <v>170.24417304110659</v>
      </c>
      <c r="K41" s="227">
        <f t="shared" si="41"/>
        <v>176.0252305654613</v>
      </c>
      <c r="L41" s="227">
        <f t="shared" si="41"/>
        <v>186.30602703605749</v>
      </c>
      <c r="M41" s="227">
        <f t="shared" si="41"/>
        <v>185.84140029159462</v>
      </c>
      <c r="N41" s="227">
        <f t="shared" si="41"/>
        <v>184.69966808334942</v>
      </c>
      <c r="O41" s="76">
        <f>SUM(C41:N41)</f>
        <v>2100.0062737127605</v>
      </c>
      <c r="P41" s="64">
        <f t="shared" si="42"/>
        <v>2100.0062737127605</v>
      </c>
      <c r="Q41" s="135">
        <v>2100</v>
      </c>
      <c r="R41" s="278">
        <v>0</v>
      </c>
      <c r="T41" s="208">
        <f t="shared" si="38"/>
        <v>2100.0062737127605</v>
      </c>
      <c r="U41" s="207">
        <f t="shared" si="39"/>
        <v>2100.0062737127605</v>
      </c>
      <c r="V41" s="209">
        <f t="shared" si="40"/>
        <v>2100.0062737127605</v>
      </c>
    </row>
    <row r="42" spans="1:22" x14ac:dyDescent="0.3">
      <c r="A42" s="175">
        <v>5450</v>
      </c>
      <c r="B42" s="126" t="s">
        <v>87</v>
      </c>
      <c r="C42" s="227">
        <f t="shared" si="41"/>
        <v>192.94442267460579</v>
      </c>
      <c r="D42" s="227">
        <f t="shared" si="41"/>
        <v>186.32005592077337</v>
      </c>
      <c r="E42" s="227">
        <f t="shared" si="41"/>
        <v>178.97771310213599</v>
      </c>
      <c r="F42" s="227">
        <f t="shared" si="41"/>
        <v>171.41630952906107</v>
      </c>
      <c r="G42" s="227">
        <f t="shared" si="41"/>
        <v>159.29714769839185</v>
      </c>
      <c r="H42" s="227">
        <f t="shared" si="41"/>
        <v>166.33729836389142</v>
      </c>
      <c r="I42" s="227">
        <f t="shared" si="41"/>
        <v>170.09420299431241</v>
      </c>
      <c r="J42" s="227">
        <f t="shared" si="41"/>
        <v>174.29760573256152</v>
      </c>
      <c r="K42" s="227">
        <f t="shared" si="41"/>
        <v>180.21630748368659</v>
      </c>
      <c r="L42" s="227">
        <f t="shared" si="41"/>
        <v>190.74188482263028</v>
      </c>
      <c r="M42" s="227">
        <f t="shared" si="41"/>
        <v>190.26619553663258</v>
      </c>
      <c r="N42" s="227">
        <f t="shared" si="41"/>
        <v>189.0972792281911</v>
      </c>
      <c r="O42" s="76"/>
      <c r="P42" s="64">
        <f t="shared" si="42"/>
        <v>2150.0064230868738</v>
      </c>
      <c r="Q42" s="135">
        <v>2150</v>
      </c>
      <c r="R42" s="278">
        <v>0</v>
      </c>
      <c r="T42" s="208">
        <f t="shared" si="38"/>
        <v>2150.0064230868738</v>
      </c>
      <c r="U42" s="207">
        <f t="shared" si="39"/>
        <v>2150.0064230868738</v>
      </c>
      <c r="V42" s="209">
        <f t="shared" si="40"/>
        <v>2150.0064230868738</v>
      </c>
    </row>
    <row r="43" spans="1:22" x14ac:dyDescent="0.3">
      <c r="A43" s="175">
        <v>5460</v>
      </c>
      <c r="B43" s="126" t="s">
        <v>122</v>
      </c>
      <c r="C43" s="227">
        <f t="shared" si="41"/>
        <v>1088.5655102525434</v>
      </c>
      <c r="D43" s="227">
        <f t="shared" si="41"/>
        <v>1051.1917573576654</v>
      </c>
      <c r="E43" s="227">
        <f t="shared" si="41"/>
        <v>1009.7672836878648</v>
      </c>
      <c r="F43" s="227">
        <f t="shared" si="41"/>
        <v>967.10689980814448</v>
      </c>
      <c r="G43" s="227">
        <f t="shared" si="41"/>
        <v>898.73227980534568</v>
      </c>
      <c r="H43" s="227">
        <f t="shared" si="41"/>
        <v>938.45182751348977</v>
      </c>
      <c r="I43" s="227">
        <f t="shared" si="41"/>
        <v>959.64775921907415</v>
      </c>
      <c r="J43" s="227">
        <f t="shared" si="41"/>
        <v>983.36277094696334</v>
      </c>
      <c r="K43" s="227">
        <f t="shared" si="41"/>
        <v>1016.7552603614503</v>
      </c>
      <c r="L43" s="227">
        <f t="shared" si="41"/>
        <v>1076.1390990225607</v>
      </c>
      <c r="M43" s="227">
        <f t="shared" si="41"/>
        <v>1073.4553264462108</v>
      </c>
      <c r="N43" s="227">
        <f t="shared" si="41"/>
        <v>1066.8604637385849</v>
      </c>
      <c r="O43" s="76"/>
      <c r="P43" s="64">
        <f t="shared" si="42"/>
        <v>12130.036238159897</v>
      </c>
      <c r="Q43" s="135">
        <v>12130</v>
      </c>
      <c r="R43" s="278">
        <v>0</v>
      </c>
      <c r="T43" s="208">
        <f t="shared" si="38"/>
        <v>12130.036238159897</v>
      </c>
      <c r="U43" s="207">
        <f t="shared" si="39"/>
        <v>12130.036238159897</v>
      </c>
      <c r="V43" s="209">
        <f t="shared" si="40"/>
        <v>12130.036238159897</v>
      </c>
    </row>
    <row r="44" spans="1:22" x14ac:dyDescent="0.3">
      <c r="A44" s="175"/>
      <c r="B44" s="131" t="s">
        <v>123</v>
      </c>
      <c r="C44" s="69">
        <f t="shared" ref="C44:O44" si="43">SUM(C38:C43)</f>
        <v>7515.8591403433047</v>
      </c>
      <c r="D44" s="69">
        <f t="shared" si="43"/>
        <v>7439.5094621293665</v>
      </c>
      <c r="E44" s="69">
        <f t="shared" si="43"/>
        <v>6952.0411207473671</v>
      </c>
      <c r="F44" s="69">
        <f t="shared" si="43"/>
        <v>6864.8915484028112</v>
      </c>
      <c r="G44" s="69">
        <f t="shared" si="43"/>
        <v>6379.7286985277442</v>
      </c>
      <c r="H44" s="69">
        <f t="shared" si="43"/>
        <v>6460.8705280584782</v>
      </c>
      <c r="I44" s="69">
        <f t="shared" si="43"/>
        <v>6765.9016800024565</v>
      </c>
      <c r="J44" s="69">
        <f t="shared" si="43"/>
        <v>6814.3483403995779</v>
      </c>
      <c r="K44" s="69">
        <f t="shared" si="43"/>
        <v>7253.2585435512829</v>
      </c>
      <c r="L44" s="69">
        <f t="shared" si="43"/>
        <v>7374.5719419043189</v>
      </c>
      <c r="M44" s="69">
        <f t="shared" si="43"/>
        <v>7486.3723573685893</v>
      </c>
      <c r="N44" s="69">
        <f t="shared" si="43"/>
        <v>7472.8999173112952</v>
      </c>
      <c r="O44" s="69">
        <f t="shared" si="43"/>
        <v>40500.031368563803</v>
      </c>
      <c r="P44" s="69">
        <f>SUM(P38:P43)</f>
        <v>84780.25327874659</v>
      </c>
      <c r="Q44" s="136">
        <v>180957</v>
      </c>
      <c r="R44" s="242"/>
      <c r="T44" s="69">
        <f>SUM(T38:T43)</f>
        <v>84780.25327874659</v>
      </c>
      <c r="U44" s="69">
        <f t="shared" ref="U44:V44" si="44">SUM(U38:U43)</f>
        <v>84780.25327874659</v>
      </c>
      <c r="V44" s="69">
        <f t="shared" si="44"/>
        <v>84780.25327874659</v>
      </c>
    </row>
    <row r="45" spans="1:22" x14ac:dyDescent="0.3">
      <c r="A45" s="175"/>
      <c r="B45" s="82" t="s">
        <v>69</v>
      </c>
      <c r="C45" s="83">
        <f t="shared" ref="C45:P45" si="45">SUM(C8-C44)</f>
        <v>7686.4108596566957</v>
      </c>
      <c r="D45" s="83">
        <f t="shared" si="45"/>
        <v>7240.8205378706334</v>
      </c>
      <c r="E45" s="83">
        <f t="shared" si="45"/>
        <v>7149.7788792526326</v>
      </c>
      <c r="F45" s="83">
        <f t="shared" si="45"/>
        <v>6641.1584515971881</v>
      </c>
      <c r="G45" s="83">
        <f t="shared" si="45"/>
        <v>6171.4413014722559</v>
      </c>
      <c r="H45" s="83">
        <f t="shared" si="45"/>
        <v>6644.9994719415226</v>
      </c>
      <c r="I45" s="83">
        <f t="shared" si="45"/>
        <v>6635.9783199975427</v>
      </c>
      <c r="J45" s="83">
        <f t="shared" si="45"/>
        <v>6918.7216596004218</v>
      </c>
      <c r="K45" s="83">
        <f t="shared" si="45"/>
        <v>6946.151456448717</v>
      </c>
      <c r="L45" s="83">
        <f t="shared" si="45"/>
        <v>7654.1580580956806</v>
      </c>
      <c r="M45" s="83">
        <f t="shared" si="45"/>
        <v>7504.8776426314107</v>
      </c>
      <c r="N45" s="83">
        <f t="shared" si="45"/>
        <v>7426.2500826887044</v>
      </c>
      <c r="O45" s="83">
        <f t="shared" si="45"/>
        <v>-40500.031368563803</v>
      </c>
      <c r="P45" s="83">
        <f t="shared" si="45"/>
        <v>84620.74672125341</v>
      </c>
      <c r="Q45" s="138">
        <v>364042</v>
      </c>
      <c r="R45" s="235"/>
      <c r="T45" s="83">
        <f t="shared" ref="T45:V45" si="46">SUM(T8-T44)</f>
        <v>84620.74672125341</v>
      </c>
      <c r="U45" s="83">
        <f t="shared" si="46"/>
        <v>84620.74672125341</v>
      </c>
      <c r="V45" s="83">
        <f t="shared" si="46"/>
        <v>84620.74672125341</v>
      </c>
    </row>
    <row r="46" spans="1:22" x14ac:dyDescent="0.3">
      <c r="A46" s="175"/>
      <c r="B46" s="84" t="s">
        <v>70</v>
      </c>
      <c r="C46" s="85">
        <f t="shared" ref="C46:O46" si="47">SUM(C8-C44)/C8</f>
        <v>0.50560941620275757</v>
      </c>
      <c r="D46" s="85">
        <f t="shared" si="47"/>
        <v>0.49323281819077863</v>
      </c>
      <c r="E46" s="85">
        <f t="shared" si="47"/>
        <v>0.50701107227667297</v>
      </c>
      <c r="F46" s="85">
        <f t="shared" si="47"/>
        <v>0.49171730088346988</v>
      </c>
      <c r="G46" s="85">
        <f t="shared" si="47"/>
        <v>0.49170247088297392</v>
      </c>
      <c r="H46" s="85">
        <f t="shared" si="47"/>
        <v>0.50702467458791534</v>
      </c>
      <c r="I46" s="85">
        <f t="shared" si="47"/>
        <v>0.49515279348849139</v>
      </c>
      <c r="J46" s="85">
        <f t="shared" si="47"/>
        <v>0.5038000723509326</v>
      </c>
      <c r="K46" s="85">
        <f t="shared" si="47"/>
        <v>0.48918592085507195</v>
      </c>
      <c r="L46" s="85">
        <f t="shared" si="47"/>
        <v>0.50930172130949725</v>
      </c>
      <c r="M46" s="85">
        <f t="shared" si="47"/>
        <v>0.50061720287710565</v>
      </c>
      <c r="N46" s="85">
        <f t="shared" si="47"/>
        <v>0.4984344799997788</v>
      </c>
      <c r="O46" s="85" t="e">
        <f t="shared" si="47"/>
        <v>#DIV/0!</v>
      </c>
      <c r="P46" s="85">
        <f>SUM(P8-P44)/P8</f>
        <v>0.49952920420336011</v>
      </c>
      <c r="Q46" s="124">
        <v>0.40179652447142694</v>
      </c>
      <c r="R46" s="235"/>
      <c r="T46" s="85">
        <f>SUM(T8-T44)/T8</f>
        <v>0.49952920420336011</v>
      </c>
      <c r="U46" s="85">
        <f t="shared" ref="U46:V46" si="48">SUM(U8-U44)/U8</f>
        <v>0.49952920420336011</v>
      </c>
      <c r="V46" s="85">
        <f t="shared" si="48"/>
        <v>0.49952920420336011</v>
      </c>
    </row>
    <row r="47" spans="1:22" x14ac:dyDescent="0.3">
      <c r="A47" s="175"/>
      <c r="B47" s="47"/>
      <c r="C47" s="24"/>
      <c r="D47" s="24"/>
      <c r="E47" s="24"/>
      <c r="F47" s="24"/>
      <c r="G47" s="24"/>
      <c r="H47" s="24"/>
      <c r="I47" s="24"/>
      <c r="J47" s="24"/>
      <c r="K47" s="24"/>
      <c r="L47" s="24"/>
      <c r="M47" s="24"/>
      <c r="N47" s="24"/>
      <c r="O47" s="24"/>
      <c r="P47" s="24"/>
      <c r="Q47" s="24"/>
      <c r="R47" s="235"/>
    </row>
    <row r="48" spans="1:22" x14ac:dyDescent="0.3">
      <c r="A48" s="175"/>
      <c r="B48" s="127" t="s">
        <v>124</v>
      </c>
      <c r="C48" s="164">
        <f>SUM(C18,C25,C33,C44)</f>
        <v>86599.792823759621</v>
      </c>
      <c r="D48" s="164">
        <f t="shared" ref="D48:O48" si="49">SUM(D18,D25,D33,D44)</f>
        <v>77374.295967738042</v>
      </c>
      <c r="E48" s="164">
        <f t="shared" si="49"/>
        <v>66414.480064911797</v>
      </c>
      <c r="F48" s="164">
        <f t="shared" si="49"/>
        <v>61009.14535439769</v>
      </c>
      <c r="G48" s="164">
        <f t="shared" si="49"/>
        <v>48506.171298893525</v>
      </c>
      <c r="H48" s="164">
        <f t="shared" si="49"/>
        <v>54704.080299306203</v>
      </c>
      <c r="I48" s="164">
        <f t="shared" si="49"/>
        <v>54649.623154152432</v>
      </c>
      <c r="J48" s="164">
        <f t="shared" si="49"/>
        <v>60663.187890680201</v>
      </c>
      <c r="K48" s="164">
        <f t="shared" si="49"/>
        <v>64387.220822032512</v>
      </c>
      <c r="L48" s="164">
        <f t="shared" si="49"/>
        <v>89082.66376346779</v>
      </c>
      <c r="M48" s="164">
        <f t="shared" si="49"/>
        <v>87312.455331817357</v>
      </c>
      <c r="N48" s="164">
        <f t="shared" si="49"/>
        <v>79794.244942389807</v>
      </c>
      <c r="O48" s="164">
        <f t="shared" si="49"/>
        <v>812470.03136856377</v>
      </c>
      <c r="P48" s="164">
        <f>SUM(P18,P25,P33,P44)</f>
        <v>830497.36171354703</v>
      </c>
      <c r="Q48" s="140">
        <v>845958</v>
      </c>
      <c r="R48" s="243"/>
      <c r="T48" s="164">
        <f>SUM(T18,T25,T33,T44)</f>
        <v>830497.36171354703</v>
      </c>
      <c r="U48" s="164">
        <f t="shared" ref="U48:V48" si="50">SUM(U18,U25,U33,U44)</f>
        <v>830497.36171354703</v>
      </c>
      <c r="V48" s="164">
        <f t="shared" si="50"/>
        <v>830497.36171354703</v>
      </c>
    </row>
    <row r="49" spans="1:22" x14ac:dyDescent="0.3">
      <c r="A49" s="175"/>
      <c r="B49" s="132" t="s">
        <v>125</v>
      </c>
      <c r="C49" s="165">
        <f t="shared" ref="C49:P49" si="51">SUM(C9-C48)</f>
        <v>38338.477176240383</v>
      </c>
      <c r="D49" s="165">
        <f t="shared" si="51"/>
        <v>35518.03403226196</v>
      </c>
      <c r="E49" s="165">
        <f t="shared" si="51"/>
        <v>32483.33993508821</v>
      </c>
      <c r="F49" s="165">
        <f t="shared" si="51"/>
        <v>26886.904645602313</v>
      </c>
      <c r="G49" s="165">
        <f t="shared" si="51"/>
        <v>22438.998701106473</v>
      </c>
      <c r="H49" s="165">
        <f t="shared" si="51"/>
        <v>25997.789700693793</v>
      </c>
      <c r="I49" s="165">
        <f t="shared" si="51"/>
        <v>24456.256845847573</v>
      </c>
      <c r="J49" s="165">
        <f t="shared" si="51"/>
        <v>29265.882109319806</v>
      </c>
      <c r="K49" s="165">
        <f t="shared" si="51"/>
        <v>29190.189177967492</v>
      </c>
      <c r="L49" s="165">
        <f t="shared" si="51"/>
        <v>42218.066236532221</v>
      </c>
      <c r="M49" s="165">
        <f t="shared" si="51"/>
        <v>37414.794668182643</v>
      </c>
      <c r="N49" s="165">
        <f t="shared" si="51"/>
        <v>35294.045057610201</v>
      </c>
      <c r="O49" s="165">
        <f t="shared" si="51"/>
        <v>-812470.03136856377</v>
      </c>
      <c r="P49" s="165">
        <f t="shared" si="51"/>
        <v>379502.7782864531</v>
      </c>
      <c r="Q49" s="144">
        <v>364042</v>
      </c>
      <c r="R49" s="243"/>
      <c r="T49" s="165">
        <f t="shared" ref="T49:V49" si="52">SUM(T9-T48)</f>
        <v>379502.7782864531</v>
      </c>
      <c r="U49" s="165">
        <f t="shared" si="52"/>
        <v>379502.7782864531</v>
      </c>
      <c r="V49" s="165">
        <f t="shared" si="52"/>
        <v>379502.7782864531</v>
      </c>
    </row>
    <row r="50" spans="1:22" x14ac:dyDescent="0.3">
      <c r="A50" s="175"/>
      <c r="B50" s="130" t="s">
        <v>126</v>
      </c>
      <c r="C50" s="133">
        <f t="shared" ref="C50:Q50" si="53">C49/C9</f>
        <v>0.30685935683470228</v>
      </c>
      <c r="D50" s="133">
        <f t="shared" si="53"/>
        <v>0.31461866392749588</v>
      </c>
      <c r="E50" s="133">
        <f t="shared" si="53"/>
        <v>0.32845354867365334</v>
      </c>
      <c r="F50" s="133">
        <f t="shared" si="53"/>
        <v>0.30589434503145835</v>
      </c>
      <c r="G50" s="133">
        <f t="shared" si="53"/>
        <v>0.31628648858134351</v>
      </c>
      <c r="H50" s="133">
        <f t="shared" si="53"/>
        <v>0.32214606304282412</v>
      </c>
      <c r="I50" s="133">
        <f t="shared" si="53"/>
        <v>0.30915852078059902</v>
      </c>
      <c r="J50" s="133">
        <f t="shared" si="53"/>
        <v>0.32543294520136595</v>
      </c>
      <c r="K50" s="133">
        <f t="shared" si="53"/>
        <v>0.31193628011255592</v>
      </c>
      <c r="L50" s="133">
        <f t="shared" si="53"/>
        <v>0.32153717832743367</v>
      </c>
      <c r="M50" s="133">
        <f t="shared" si="53"/>
        <v>0.29997289820935397</v>
      </c>
      <c r="N50" s="133">
        <f t="shared" si="53"/>
        <v>0.30666929761151374</v>
      </c>
      <c r="O50" s="133" t="e">
        <f t="shared" si="53"/>
        <v>#DIV/0!</v>
      </c>
      <c r="P50" s="133">
        <f t="shared" si="53"/>
        <v>0.31363862345210397</v>
      </c>
      <c r="Q50" s="133">
        <f t="shared" si="53"/>
        <v>0.30086115702479338</v>
      </c>
      <c r="R50" s="243"/>
      <c r="T50" s="133">
        <f t="shared" ref="T50:V50" si="54">T49/T9</f>
        <v>0.31363862345210397</v>
      </c>
      <c r="U50" s="133">
        <f t="shared" si="54"/>
        <v>0.31363862345210397</v>
      </c>
      <c r="V50" s="133">
        <f t="shared" si="54"/>
        <v>0.31363862345210397</v>
      </c>
    </row>
    <row r="51" spans="1:22" x14ac:dyDescent="0.3">
      <c r="A51" s="175"/>
      <c r="B51" s="47"/>
      <c r="C51" s="23"/>
      <c r="D51" s="23"/>
      <c r="E51" s="23"/>
      <c r="F51" s="23"/>
      <c r="G51" s="23"/>
      <c r="H51" s="23"/>
      <c r="I51" s="23"/>
      <c r="J51" s="23"/>
      <c r="K51" s="23"/>
      <c r="L51" s="23"/>
      <c r="M51" s="23"/>
      <c r="N51" s="23"/>
      <c r="O51" s="23"/>
      <c r="P51" s="24"/>
      <c r="Q51" s="24"/>
      <c r="R51" s="235"/>
    </row>
    <row r="52" spans="1:22" x14ac:dyDescent="0.3">
      <c r="A52" s="176"/>
      <c r="B52" s="65" t="s">
        <v>71</v>
      </c>
      <c r="C52" s="9"/>
      <c r="D52" s="5"/>
      <c r="E52" s="5"/>
      <c r="F52" s="5"/>
      <c r="G52" s="5"/>
      <c r="H52" s="6"/>
      <c r="I52" s="6"/>
      <c r="J52" s="6"/>
      <c r="K52" s="6"/>
      <c r="L52" s="6"/>
      <c r="M52" s="6"/>
      <c r="N52" s="6"/>
      <c r="O52" s="6"/>
      <c r="P52" s="8"/>
      <c r="Q52" s="8"/>
      <c r="R52" s="241"/>
    </row>
    <row r="53" spans="1:22" x14ac:dyDescent="0.3">
      <c r="A53" s="176">
        <v>6110</v>
      </c>
      <c r="B53" s="86" t="s">
        <v>72</v>
      </c>
      <c r="C53" s="228">
        <v>3667</v>
      </c>
      <c r="D53" s="229">
        <v>3667</v>
      </c>
      <c r="E53" s="229">
        <v>3667</v>
      </c>
      <c r="F53" s="229">
        <v>3667</v>
      </c>
      <c r="G53" s="229">
        <v>3667</v>
      </c>
      <c r="H53" s="229">
        <v>3667</v>
      </c>
      <c r="I53" s="229">
        <v>3667</v>
      </c>
      <c r="J53" s="229">
        <v>3667</v>
      </c>
      <c r="K53" s="229">
        <v>3667</v>
      </c>
      <c r="L53" s="229">
        <v>3667</v>
      </c>
      <c r="M53" s="229">
        <v>3667</v>
      </c>
      <c r="N53" s="229">
        <v>3667</v>
      </c>
      <c r="O53" s="76">
        <f t="shared" ref="O53:O70" si="55">SUM(C53:N53)</f>
        <v>44004</v>
      </c>
      <c r="P53" s="64">
        <f>SUM(C53:N53)</f>
        <v>44004</v>
      </c>
      <c r="Q53" s="135">
        <v>44004</v>
      </c>
      <c r="R53" s="278">
        <v>0</v>
      </c>
      <c r="T53" s="208">
        <f t="shared" ref="T53:T70" si="56">(P53+(P53*R53))</f>
        <v>44004</v>
      </c>
      <c r="U53" s="207">
        <f t="shared" ref="U53:U70" si="57">P53</f>
        <v>44004</v>
      </c>
      <c r="V53" s="209">
        <f t="shared" ref="V53:V70" si="58">T53</f>
        <v>44004</v>
      </c>
    </row>
    <row r="54" spans="1:22" x14ac:dyDescent="0.3">
      <c r="A54" s="178">
        <v>6120</v>
      </c>
      <c r="B54" s="90" t="s">
        <v>73</v>
      </c>
      <c r="C54" s="230">
        <v>910</v>
      </c>
      <c r="D54" s="230">
        <v>280</v>
      </c>
      <c r="E54" s="230">
        <v>560</v>
      </c>
      <c r="F54" s="230">
        <v>350</v>
      </c>
      <c r="G54" s="230">
        <v>280</v>
      </c>
      <c r="H54" s="230">
        <v>350</v>
      </c>
      <c r="I54" s="230">
        <v>490</v>
      </c>
      <c r="J54" s="230">
        <v>700</v>
      </c>
      <c r="K54" s="230">
        <v>420</v>
      </c>
      <c r="L54" s="230">
        <v>1190</v>
      </c>
      <c r="M54" s="230">
        <v>1120</v>
      </c>
      <c r="N54" s="230">
        <v>350</v>
      </c>
      <c r="O54" s="76">
        <f t="shared" si="55"/>
        <v>7000</v>
      </c>
      <c r="P54" s="64">
        <f t="shared" ref="P54:P70" si="59">SUM(C54:N54)</f>
        <v>7000</v>
      </c>
      <c r="Q54" s="135">
        <v>7000</v>
      </c>
      <c r="R54" s="278">
        <v>0</v>
      </c>
      <c r="T54" s="208">
        <f t="shared" si="56"/>
        <v>7000</v>
      </c>
      <c r="U54" s="207">
        <f t="shared" si="57"/>
        <v>7000</v>
      </c>
      <c r="V54" s="209">
        <f t="shared" si="58"/>
        <v>7000</v>
      </c>
    </row>
    <row r="55" spans="1:22" x14ac:dyDescent="0.3">
      <c r="A55" s="176">
        <v>6130</v>
      </c>
      <c r="B55" s="91" t="s">
        <v>74</v>
      </c>
      <c r="C55" s="229">
        <v>120</v>
      </c>
      <c r="D55" s="229">
        <v>160</v>
      </c>
      <c r="E55" s="229">
        <v>230</v>
      </c>
      <c r="F55" s="229">
        <v>270</v>
      </c>
      <c r="G55" s="229">
        <v>290</v>
      </c>
      <c r="H55" s="229">
        <v>350</v>
      </c>
      <c r="I55" s="229">
        <v>470</v>
      </c>
      <c r="J55" s="229">
        <v>750</v>
      </c>
      <c r="K55" s="229">
        <v>1100</v>
      </c>
      <c r="L55" s="229">
        <v>3100</v>
      </c>
      <c r="M55" s="229">
        <v>2130</v>
      </c>
      <c r="N55" s="229">
        <v>2030</v>
      </c>
      <c r="O55" s="76">
        <f t="shared" si="55"/>
        <v>11000</v>
      </c>
      <c r="P55" s="64">
        <f t="shared" si="59"/>
        <v>11000</v>
      </c>
      <c r="Q55" s="135">
        <v>11000</v>
      </c>
      <c r="R55" s="278">
        <v>0</v>
      </c>
      <c r="T55" s="208">
        <f t="shared" si="56"/>
        <v>11000</v>
      </c>
      <c r="U55" s="207">
        <f t="shared" si="57"/>
        <v>11000</v>
      </c>
      <c r="V55" s="209">
        <f t="shared" si="58"/>
        <v>11000</v>
      </c>
    </row>
    <row r="56" spans="1:22" x14ac:dyDescent="0.3">
      <c r="A56" s="178">
        <v>6140</v>
      </c>
      <c r="B56" s="91" t="s">
        <v>75</v>
      </c>
      <c r="C56" s="229">
        <v>1083</v>
      </c>
      <c r="D56" s="229">
        <v>1083</v>
      </c>
      <c r="E56" s="229">
        <v>1083</v>
      </c>
      <c r="F56" s="229">
        <v>1083</v>
      </c>
      <c r="G56" s="229">
        <v>1083</v>
      </c>
      <c r="H56" s="229">
        <v>1083</v>
      </c>
      <c r="I56" s="229">
        <v>1083</v>
      </c>
      <c r="J56" s="229">
        <v>1083</v>
      </c>
      <c r="K56" s="229">
        <v>1083</v>
      </c>
      <c r="L56" s="229">
        <v>1083</v>
      </c>
      <c r="M56" s="229">
        <v>1083</v>
      </c>
      <c r="N56" s="229">
        <v>1087</v>
      </c>
      <c r="O56" s="76">
        <f t="shared" si="55"/>
        <v>13000</v>
      </c>
      <c r="P56" s="64">
        <f t="shared" si="59"/>
        <v>13000</v>
      </c>
      <c r="Q56" s="135">
        <v>13000</v>
      </c>
      <c r="R56" s="278">
        <v>0</v>
      </c>
      <c r="T56" s="208">
        <f t="shared" si="56"/>
        <v>13000</v>
      </c>
      <c r="U56" s="207">
        <f t="shared" si="57"/>
        <v>13000</v>
      </c>
      <c r="V56" s="209">
        <f t="shared" si="58"/>
        <v>13000</v>
      </c>
    </row>
    <row r="57" spans="1:22" x14ac:dyDescent="0.3">
      <c r="A57" s="176">
        <v>6150</v>
      </c>
      <c r="B57" s="91" t="s">
        <v>76</v>
      </c>
      <c r="C57" s="229">
        <v>1250</v>
      </c>
      <c r="D57" s="229">
        <v>1150</v>
      </c>
      <c r="E57" s="229">
        <v>1150</v>
      </c>
      <c r="F57" s="229">
        <v>850</v>
      </c>
      <c r="G57" s="229">
        <v>700</v>
      </c>
      <c r="H57" s="229">
        <v>1050</v>
      </c>
      <c r="I57" s="229">
        <v>1300</v>
      </c>
      <c r="J57" s="229">
        <v>1350</v>
      </c>
      <c r="K57" s="229">
        <v>1000</v>
      </c>
      <c r="L57" s="229">
        <v>900</v>
      </c>
      <c r="M57" s="229">
        <v>1100</v>
      </c>
      <c r="N57" s="229">
        <v>1200</v>
      </c>
      <c r="O57" s="76">
        <f t="shared" si="55"/>
        <v>13000</v>
      </c>
      <c r="P57" s="64">
        <f t="shared" si="59"/>
        <v>13000</v>
      </c>
      <c r="Q57" s="135">
        <v>13000</v>
      </c>
      <c r="R57" s="278">
        <v>0</v>
      </c>
      <c r="T57" s="208">
        <f t="shared" si="56"/>
        <v>13000</v>
      </c>
      <c r="U57" s="207">
        <f t="shared" si="57"/>
        <v>13000</v>
      </c>
      <c r="V57" s="209">
        <f t="shared" si="58"/>
        <v>13000</v>
      </c>
    </row>
    <row r="58" spans="1:22" x14ac:dyDescent="0.3">
      <c r="A58" s="178">
        <v>6160</v>
      </c>
      <c r="B58" s="91" t="s">
        <v>77</v>
      </c>
      <c r="C58" s="229">
        <v>1200</v>
      </c>
      <c r="D58" s="229">
        <v>800</v>
      </c>
      <c r="E58" s="229">
        <v>900</v>
      </c>
      <c r="F58" s="229">
        <v>1100</v>
      </c>
      <c r="G58" s="229">
        <v>500</v>
      </c>
      <c r="H58" s="229">
        <v>1500</v>
      </c>
      <c r="I58" s="229">
        <v>1000</v>
      </c>
      <c r="J58" s="229">
        <v>1000</v>
      </c>
      <c r="K58" s="229">
        <v>700</v>
      </c>
      <c r="L58" s="229">
        <v>1300</v>
      </c>
      <c r="M58" s="229">
        <v>1100</v>
      </c>
      <c r="N58" s="229">
        <v>900</v>
      </c>
      <c r="O58" s="76">
        <f t="shared" si="55"/>
        <v>12000</v>
      </c>
      <c r="P58" s="64">
        <f t="shared" si="59"/>
        <v>12000</v>
      </c>
      <c r="Q58" s="135">
        <v>12000</v>
      </c>
      <c r="R58" s="278">
        <v>0</v>
      </c>
      <c r="T58" s="208">
        <f t="shared" si="56"/>
        <v>12000</v>
      </c>
      <c r="U58" s="207">
        <f t="shared" si="57"/>
        <v>12000</v>
      </c>
      <c r="V58" s="209">
        <f t="shared" si="58"/>
        <v>12000</v>
      </c>
    </row>
    <row r="59" spans="1:22" x14ac:dyDescent="0.3">
      <c r="A59" s="176">
        <v>6170</v>
      </c>
      <c r="B59" s="75" t="s">
        <v>78</v>
      </c>
      <c r="C59" s="230">
        <v>2470</v>
      </c>
      <c r="D59" s="230">
        <v>760</v>
      </c>
      <c r="E59" s="230">
        <v>1520</v>
      </c>
      <c r="F59" s="230">
        <v>950</v>
      </c>
      <c r="G59" s="230">
        <v>760</v>
      </c>
      <c r="H59" s="230">
        <v>950</v>
      </c>
      <c r="I59" s="230">
        <v>1330</v>
      </c>
      <c r="J59" s="230">
        <v>1900</v>
      </c>
      <c r="K59" s="230">
        <v>1140</v>
      </c>
      <c r="L59" s="230">
        <v>3230</v>
      </c>
      <c r="M59" s="230">
        <v>3040</v>
      </c>
      <c r="N59" s="230">
        <v>950</v>
      </c>
      <c r="O59" s="76">
        <f t="shared" si="55"/>
        <v>19000</v>
      </c>
      <c r="P59" s="64">
        <f t="shared" si="59"/>
        <v>19000</v>
      </c>
      <c r="Q59" s="135">
        <v>19000</v>
      </c>
      <c r="R59" s="278">
        <v>0</v>
      </c>
      <c r="T59" s="208">
        <f t="shared" si="56"/>
        <v>19000</v>
      </c>
      <c r="U59" s="207">
        <f t="shared" si="57"/>
        <v>19000</v>
      </c>
      <c r="V59" s="209">
        <f t="shared" si="58"/>
        <v>19000</v>
      </c>
    </row>
    <row r="60" spans="1:22" x14ac:dyDescent="0.3">
      <c r="A60" s="178">
        <v>6180</v>
      </c>
      <c r="B60" s="91" t="s">
        <v>79</v>
      </c>
      <c r="C60" s="229">
        <v>250</v>
      </c>
      <c r="D60" s="229">
        <v>250</v>
      </c>
      <c r="E60" s="229">
        <v>250</v>
      </c>
      <c r="F60" s="229">
        <v>250</v>
      </c>
      <c r="G60" s="229">
        <v>250</v>
      </c>
      <c r="H60" s="229">
        <v>250</v>
      </c>
      <c r="I60" s="229">
        <v>250</v>
      </c>
      <c r="J60" s="229">
        <v>250</v>
      </c>
      <c r="K60" s="229">
        <v>250</v>
      </c>
      <c r="L60" s="229">
        <v>250</v>
      </c>
      <c r="M60" s="229">
        <v>250</v>
      </c>
      <c r="N60" s="229">
        <v>250</v>
      </c>
      <c r="O60" s="76">
        <f t="shared" si="55"/>
        <v>3000</v>
      </c>
      <c r="P60" s="64">
        <f t="shared" si="59"/>
        <v>3000</v>
      </c>
      <c r="Q60" s="135">
        <v>3000</v>
      </c>
      <c r="R60" s="278">
        <v>0</v>
      </c>
      <c r="T60" s="208">
        <f t="shared" si="56"/>
        <v>3000</v>
      </c>
      <c r="U60" s="207">
        <f t="shared" si="57"/>
        <v>3000</v>
      </c>
      <c r="V60" s="209">
        <f t="shared" si="58"/>
        <v>3000</v>
      </c>
    </row>
    <row r="61" spans="1:22" x14ac:dyDescent="0.3">
      <c r="A61" s="176">
        <v>6190</v>
      </c>
      <c r="B61" s="91" t="s">
        <v>80</v>
      </c>
      <c r="C61" s="229">
        <v>250</v>
      </c>
      <c r="D61" s="229">
        <v>250</v>
      </c>
      <c r="E61" s="229">
        <v>250</v>
      </c>
      <c r="F61" s="229">
        <v>250</v>
      </c>
      <c r="G61" s="229">
        <v>250</v>
      </c>
      <c r="H61" s="229">
        <v>250</v>
      </c>
      <c r="I61" s="229">
        <v>250</v>
      </c>
      <c r="J61" s="229">
        <v>250</v>
      </c>
      <c r="K61" s="229">
        <v>250</v>
      </c>
      <c r="L61" s="229">
        <v>250</v>
      </c>
      <c r="M61" s="229">
        <v>250</v>
      </c>
      <c r="N61" s="229">
        <v>250</v>
      </c>
      <c r="O61" s="76">
        <f t="shared" si="55"/>
        <v>3000</v>
      </c>
      <c r="P61" s="64">
        <f t="shared" si="59"/>
        <v>3000</v>
      </c>
      <c r="Q61" s="135">
        <v>3000</v>
      </c>
      <c r="R61" s="278">
        <v>0</v>
      </c>
      <c r="T61" s="208">
        <f t="shared" si="56"/>
        <v>3000</v>
      </c>
      <c r="U61" s="207">
        <f t="shared" si="57"/>
        <v>3000</v>
      </c>
      <c r="V61" s="209">
        <f t="shared" si="58"/>
        <v>3000</v>
      </c>
    </row>
    <row r="62" spans="1:22" x14ac:dyDescent="0.3">
      <c r="A62" s="178">
        <v>6200</v>
      </c>
      <c r="B62" s="93" t="s">
        <v>83</v>
      </c>
      <c r="C62" s="229">
        <v>4166.666666666667</v>
      </c>
      <c r="D62" s="229">
        <v>4166.666666666667</v>
      </c>
      <c r="E62" s="229">
        <v>4166.666666666667</v>
      </c>
      <c r="F62" s="229">
        <v>4166.666666666667</v>
      </c>
      <c r="G62" s="229">
        <v>4166.666666666667</v>
      </c>
      <c r="H62" s="229">
        <v>4166.666666666667</v>
      </c>
      <c r="I62" s="229">
        <v>4166.666666666667</v>
      </c>
      <c r="J62" s="229">
        <v>4166.666666666667</v>
      </c>
      <c r="K62" s="229">
        <v>4166.666666666667</v>
      </c>
      <c r="L62" s="229">
        <v>4166.666666666667</v>
      </c>
      <c r="M62" s="229">
        <v>4166.666666666667</v>
      </c>
      <c r="N62" s="229">
        <v>4166.666666666667</v>
      </c>
      <c r="O62" s="76">
        <f t="shared" si="55"/>
        <v>49999.999999999993</v>
      </c>
      <c r="P62" s="64">
        <f t="shared" si="59"/>
        <v>49999.999999999993</v>
      </c>
      <c r="Q62" s="135">
        <v>49999.999999999993</v>
      </c>
      <c r="R62" s="278">
        <v>0</v>
      </c>
      <c r="T62" s="208">
        <f t="shared" si="56"/>
        <v>49999.999999999993</v>
      </c>
      <c r="U62" s="207">
        <f t="shared" si="57"/>
        <v>49999.999999999993</v>
      </c>
      <c r="V62" s="209">
        <f t="shared" si="58"/>
        <v>49999.999999999993</v>
      </c>
    </row>
    <row r="63" spans="1:22" x14ac:dyDescent="0.3">
      <c r="A63" s="176">
        <v>6210</v>
      </c>
      <c r="B63" s="91" t="s">
        <v>84</v>
      </c>
      <c r="C63" s="229">
        <f t="shared" ref="C63:N63" si="60">SUM((C62+C39+C16+C30)*0.1049)</f>
        <v>1683.5981519884429</v>
      </c>
      <c r="D63" s="229">
        <f t="shared" si="60"/>
        <v>1632.3372245385917</v>
      </c>
      <c r="E63" s="229">
        <f t="shared" si="60"/>
        <v>1447.4794575846822</v>
      </c>
      <c r="F63" s="229">
        <f t="shared" si="60"/>
        <v>1383.8567469045513</v>
      </c>
      <c r="G63" s="229">
        <f t="shared" si="60"/>
        <v>1200.0386874952258</v>
      </c>
      <c r="H63" s="229">
        <f t="shared" si="60"/>
        <v>1293.8301012991162</v>
      </c>
      <c r="I63" s="229">
        <f t="shared" si="60"/>
        <v>1282.1636925077585</v>
      </c>
      <c r="J63" s="229">
        <f t="shared" si="60"/>
        <v>1435.9155005148393</v>
      </c>
      <c r="K63" s="229">
        <f t="shared" si="60"/>
        <v>1368.6034939519518</v>
      </c>
      <c r="L63" s="229">
        <f t="shared" si="60"/>
        <v>1666.2578485623956</v>
      </c>
      <c r="M63" s="229">
        <f t="shared" si="60"/>
        <v>1816.047974870675</v>
      </c>
      <c r="N63" s="229">
        <f t="shared" si="60"/>
        <v>1622.8507705101561</v>
      </c>
      <c r="O63" s="88">
        <f t="shared" ref="O63" si="61">SUM(O62*0.1059)</f>
        <v>5294.9999999999991</v>
      </c>
      <c r="P63" s="64">
        <f t="shared" si="59"/>
        <v>17832.979650728386</v>
      </c>
      <c r="Q63" s="139">
        <v>5294.9999999999991</v>
      </c>
      <c r="R63" s="278">
        <v>0</v>
      </c>
      <c r="T63" s="208">
        <f t="shared" si="56"/>
        <v>17832.979650728386</v>
      </c>
      <c r="U63" s="207">
        <f t="shared" si="57"/>
        <v>17832.979650728386</v>
      </c>
      <c r="V63" s="209">
        <f t="shared" si="58"/>
        <v>17832.979650728386</v>
      </c>
    </row>
    <row r="64" spans="1:22" x14ac:dyDescent="0.3">
      <c r="A64" s="178">
        <v>6220</v>
      </c>
      <c r="B64" s="91" t="s">
        <v>85</v>
      </c>
      <c r="C64" s="229">
        <f t="shared" ref="C64:N64" si="62">$P64/12</f>
        <v>1550</v>
      </c>
      <c r="D64" s="229">
        <f t="shared" si="62"/>
        <v>1550</v>
      </c>
      <c r="E64" s="229">
        <f t="shared" si="62"/>
        <v>1550</v>
      </c>
      <c r="F64" s="229">
        <f t="shared" si="62"/>
        <v>1550</v>
      </c>
      <c r="G64" s="229">
        <f t="shared" si="62"/>
        <v>1550</v>
      </c>
      <c r="H64" s="229">
        <f t="shared" si="62"/>
        <v>1550</v>
      </c>
      <c r="I64" s="229">
        <f t="shared" si="62"/>
        <v>1550</v>
      </c>
      <c r="J64" s="229">
        <f t="shared" si="62"/>
        <v>1550</v>
      </c>
      <c r="K64" s="229">
        <f t="shared" si="62"/>
        <v>1550</v>
      </c>
      <c r="L64" s="229">
        <f t="shared" si="62"/>
        <v>1550</v>
      </c>
      <c r="M64" s="229">
        <f t="shared" si="62"/>
        <v>1550</v>
      </c>
      <c r="N64" s="229">
        <f t="shared" si="62"/>
        <v>1550</v>
      </c>
      <c r="O64" s="76">
        <f t="shared" si="55"/>
        <v>18600</v>
      </c>
      <c r="P64" s="64">
        <v>18600</v>
      </c>
      <c r="Q64" s="141">
        <v>15600</v>
      </c>
      <c r="R64" s="278">
        <v>0</v>
      </c>
      <c r="T64" s="208">
        <f t="shared" si="56"/>
        <v>18600</v>
      </c>
      <c r="U64" s="207">
        <f t="shared" si="57"/>
        <v>18600</v>
      </c>
      <c r="V64" s="209">
        <f t="shared" si="58"/>
        <v>18600</v>
      </c>
    </row>
    <row r="65" spans="1:23" x14ac:dyDescent="0.3">
      <c r="A65" s="176">
        <v>6230</v>
      </c>
      <c r="B65" s="75" t="s">
        <v>86</v>
      </c>
      <c r="C65" s="229">
        <v>225</v>
      </c>
      <c r="D65" s="229">
        <v>225</v>
      </c>
      <c r="E65" s="229">
        <v>225</v>
      </c>
      <c r="F65" s="229">
        <v>225</v>
      </c>
      <c r="G65" s="229">
        <v>225</v>
      </c>
      <c r="H65" s="229">
        <v>225</v>
      </c>
      <c r="I65" s="229">
        <v>225</v>
      </c>
      <c r="J65" s="229">
        <v>225</v>
      </c>
      <c r="K65" s="229">
        <v>225</v>
      </c>
      <c r="L65" s="229">
        <v>225</v>
      </c>
      <c r="M65" s="229">
        <v>225</v>
      </c>
      <c r="N65" s="229">
        <v>225</v>
      </c>
      <c r="O65" s="76">
        <f t="shared" si="55"/>
        <v>2700</v>
      </c>
      <c r="P65" s="64">
        <f t="shared" si="59"/>
        <v>2700</v>
      </c>
      <c r="Q65" s="141">
        <v>2700</v>
      </c>
      <c r="R65" s="278">
        <v>0</v>
      </c>
      <c r="T65" s="208">
        <f t="shared" si="56"/>
        <v>2700</v>
      </c>
      <c r="U65" s="207">
        <f t="shared" si="57"/>
        <v>2700</v>
      </c>
      <c r="V65" s="209">
        <f t="shared" si="58"/>
        <v>2700</v>
      </c>
    </row>
    <row r="66" spans="1:23" x14ac:dyDescent="0.3">
      <c r="A66" s="178">
        <v>6240</v>
      </c>
      <c r="B66" s="75" t="s">
        <v>87</v>
      </c>
      <c r="C66" s="231">
        <v>0</v>
      </c>
      <c r="D66" s="231">
        <v>0</v>
      </c>
      <c r="E66" s="231">
        <v>1200</v>
      </c>
      <c r="F66" s="231">
        <v>450</v>
      </c>
      <c r="G66" s="231">
        <v>0</v>
      </c>
      <c r="H66" s="231">
        <v>600</v>
      </c>
      <c r="I66" s="231">
        <v>0</v>
      </c>
      <c r="J66" s="231">
        <v>0</v>
      </c>
      <c r="K66" s="231">
        <v>1600</v>
      </c>
      <c r="L66" s="231">
        <v>0</v>
      </c>
      <c r="M66" s="231">
        <v>0</v>
      </c>
      <c r="N66" s="231">
        <v>0</v>
      </c>
      <c r="O66" s="76">
        <f t="shared" si="55"/>
        <v>3850</v>
      </c>
      <c r="P66" s="64">
        <f t="shared" si="59"/>
        <v>3850</v>
      </c>
      <c r="Q66" s="141">
        <v>3850</v>
      </c>
      <c r="R66" s="278">
        <v>0</v>
      </c>
      <c r="T66" s="208">
        <f t="shared" si="56"/>
        <v>3850</v>
      </c>
      <c r="U66" s="207">
        <f t="shared" si="57"/>
        <v>3850</v>
      </c>
      <c r="V66" s="209">
        <f t="shared" si="58"/>
        <v>3850</v>
      </c>
    </row>
    <row r="67" spans="1:23" x14ac:dyDescent="0.3">
      <c r="A67" s="176">
        <v>6250</v>
      </c>
      <c r="B67" s="75" t="s">
        <v>88</v>
      </c>
      <c r="C67" s="232">
        <v>910</v>
      </c>
      <c r="D67" s="232">
        <v>180</v>
      </c>
      <c r="E67" s="232">
        <v>360</v>
      </c>
      <c r="F67" s="232">
        <v>150</v>
      </c>
      <c r="G67" s="232">
        <v>250</v>
      </c>
      <c r="H67" s="232">
        <v>250</v>
      </c>
      <c r="I67" s="232">
        <v>220</v>
      </c>
      <c r="J67" s="232">
        <v>325</v>
      </c>
      <c r="K67" s="232">
        <v>130</v>
      </c>
      <c r="L67" s="232">
        <v>900</v>
      </c>
      <c r="M67" s="232">
        <v>1020</v>
      </c>
      <c r="N67" s="232">
        <v>175</v>
      </c>
      <c r="O67" s="76">
        <f t="shared" si="55"/>
        <v>4870</v>
      </c>
      <c r="P67" s="64">
        <f t="shared" si="59"/>
        <v>4870</v>
      </c>
      <c r="Q67" s="141">
        <v>4870</v>
      </c>
      <c r="R67" s="278">
        <v>0</v>
      </c>
      <c r="T67" s="208">
        <f t="shared" si="56"/>
        <v>4870</v>
      </c>
      <c r="U67" s="207">
        <f t="shared" si="57"/>
        <v>4870</v>
      </c>
      <c r="V67" s="209">
        <f t="shared" si="58"/>
        <v>4870</v>
      </c>
    </row>
    <row r="68" spans="1:23" x14ac:dyDescent="0.3">
      <c r="A68" s="178">
        <v>6260</v>
      </c>
      <c r="B68" s="91" t="s">
        <v>89</v>
      </c>
      <c r="C68" s="231">
        <v>1250</v>
      </c>
      <c r="D68" s="231">
        <v>1250</v>
      </c>
      <c r="E68" s="231">
        <v>1250</v>
      </c>
      <c r="F68" s="231">
        <v>1250</v>
      </c>
      <c r="G68" s="231">
        <v>1250</v>
      </c>
      <c r="H68" s="231">
        <v>1250</v>
      </c>
      <c r="I68" s="231">
        <v>1250</v>
      </c>
      <c r="J68" s="231">
        <v>1250</v>
      </c>
      <c r="K68" s="231">
        <v>1250</v>
      </c>
      <c r="L68" s="231">
        <v>1250</v>
      </c>
      <c r="M68" s="231">
        <v>1250</v>
      </c>
      <c r="N68" s="231">
        <v>1250</v>
      </c>
      <c r="O68" s="76">
        <f t="shared" si="55"/>
        <v>15000</v>
      </c>
      <c r="P68" s="64">
        <f t="shared" si="59"/>
        <v>15000</v>
      </c>
      <c r="Q68" s="135">
        <v>15000</v>
      </c>
      <c r="R68" s="278">
        <v>0</v>
      </c>
      <c r="T68" s="208">
        <f t="shared" si="56"/>
        <v>15000</v>
      </c>
      <c r="U68" s="207">
        <f t="shared" si="57"/>
        <v>15000</v>
      </c>
      <c r="V68" s="209">
        <f t="shared" si="58"/>
        <v>15000</v>
      </c>
    </row>
    <row r="69" spans="1:23" x14ac:dyDescent="0.3">
      <c r="A69" s="176">
        <v>6270</v>
      </c>
      <c r="B69" s="91" t="s">
        <v>90</v>
      </c>
      <c r="C69" s="233">
        <v>667</v>
      </c>
      <c r="D69" s="233">
        <v>667</v>
      </c>
      <c r="E69" s="233">
        <v>667</v>
      </c>
      <c r="F69" s="233">
        <v>667</v>
      </c>
      <c r="G69" s="233">
        <v>667</v>
      </c>
      <c r="H69" s="233">
        <v>667</v>
      </c>
      <c r="I69" s="233">
        <v>667</v>
      </c>
      <c r="J69" s="233">
        <v>667</v>
      </c>
      <c r="K69" s="233">
        <v>667</v>
      </c>
      <c r="L69" s="233">
        <v>667</v>
      </c>
      <c r="M69" s="233">
        <v>667</v>
      </c>
      <c r="N69" s="233">
        <v>667</v>
      </c>
      <c r="O69" s="76">
        <f t="shared" si="55"/>
        <v>8004</v>
      </c>
      <c r="P69" s="64">
        <f t="shared" si="59"/>
        <v>8004</v>
      </c>
      <c r="Q69" s="135">
        <v>8004</v>
      </c>
      <c r="R69" s="278">
        <v>0</v>
      </c>
      <c r="T69" s="208">
        <f t="shared" si="56"/>
        <v>8004</v>
      </c>
      <c r="U69" s="207">
        <f t="shared" si="57"/>
        <v>8004</v>
      </c>
      <c r="V69" s="209">
        <f t="shared" si="58"/>
        <v>8004</v>
      </c>
    </row>
    <row r="70" spans="1:23" x14ac:dyDescent="0.3">
      <c r="A70" s="178">
        <v>6280</v>
      </c>
      <c r="B70" s="95" t="s">
        <v>91</v>
      </c>
      <c r="C70" s="234">
        <v>0</v>
      </c>
      <c r="D70" s="234">
        <v>0</v>
      </c>
      <c r="E70" s="234">
        <v>1700</v>
      </c>
      <c r="F70" s="234">
        <v>0</v>
      </c>
      <c r="G70" s="234">
        <v>0</v>
      </c>
      <c r="H70" s="234">
        <v>2800</v>
      </c>
      <c r="I70" s="234">
        <v>0</v>
      </c>
      <c r="J70" s="234">
        <v>0</v>
      </c>
      <c r="K70" s="234">
        <v>2500</v>
      </c>
      <c r="L70" s="234">
        <v>0</v>
      </c>
      <c r="M70" s="234">
        <v>0</v>
      </c>
      <c r="N70" s="234">
        <v>0</v>
      </c>
      <c r="O70" s="97">
        <f t="shared" si="55"/>
        <v>7000</v>
      </c>
      <c r="P70" s="64">
        <f t="shared" si="59"/>
        <v>7000</v>
      </c>
      <c r="Q70" s="135">
        <v>7000</v>
      </c>
      <c r="R70" s="278">
        <v>0</v>
      </c>
      <c r="T70" s="208">
        <f t="shared" si="56"/>
        <v>7000</v>
      </c>
      <c r="U70" s="207">
        <f t="shared" si="57"/>
        <v>7000</v>
      </c>
      <c r="V70" s="209">
        <f t="shared" si="58"/>
        <v>7000</v>
      </c>
    </row>
    <row r="71" spans="1:23" x14ac:dyDescent="0.3">
      <c r="A71" s="178"/>
      <c r="B71" s="98" t="s">
        <v>92</v>
      </c>
      <c r="C71" s="69">
        <f t="shared" ref="C71:P71" si="63">SUM(C53:C70)</f>
        <v>21652.264818655112</v>
      </c>
      <c r="D71" s="69">
        <f t="shared" si="63"/>
        <v>18071.003891205259</v>
      </c>
      <c r="E71" s="69">
        <f t="shared" si="63"/>
        <v>22176.146124251351</v>
      </c>
      <c r="F71" s="69">
        <f t="shared" si="63"/>
        <v>18612.52341357122</v>
      </c>
      <c r="G71" s="69">
        <f t="shared" si="63"/>
        <v>17088.705354161895</v>
      </c>
      <c r="H71" s="69">
        <f t="shared" si="63"/>
        <v>22252.496767965786</v>
      </c>
      <c r="I71" s="69">
        <f t="shared" si="63"/>
        <v>19200.830359174426</v>
      </c>
      <c r="J71" s="69">
        <f t="shared" si="63"/>
        <v>20569.582167181507</v>
      </c>
      <c r="K71" s="69">
        <f t="shared" si="63"/>
        <v>23067.27016061862</v>
      </c>
      <c r="L71" s="69">
        <f t="shared" si="63"/>
        <v>25394.924515229064</v>
      </c>
      <c r="M71" s="69">
        <f t="shared" si="63"/>
        <v>24434.714641537343</v>
      </c>
      <c r="N71" s="69">
        <f t="shared" si="63"/>
        <v>20340.517437176823</v>
      </c>
      <c r="O71" s="69">
        <f t="shared" si="63"/>
        <v>240323</v>
      </c>
      <c r="P71" s="69">
        <f t="shared" si="63"/>
        <v>252860.97965072838</v>
      </c>
      <c r="Q71" s="136">
        <v>237323</v>
      </c>
      <c r="R71" s="236"/>
      <c r="T71" s="69">
        <f t="shared" ref="T71:V71" si="64">SUM(T53:T70)</f>
        <v>252860.97965072838</v>
      </c>
      <c r="U71" s="69">
        <f t="shared" si="64"/>
        <v>252860.97965072838</v>
      </c>
      <c r="V71" s="69">
        <f t="shared" si="64"/>
        <v>252860.97965072838</v>
      </c>
    </row>
    <row r="72" spans="1:23" x14ac:dyDescent="0.3">
      <c r="A72" s="176"/>
      <c r="B72" s="101" t="s">
        <v>93</v>
      </c>
      <c r="C72" s="102"/>
      <c r="D72" s="102"/>
      <c r="E72" s="102"/>
      <c r="F72" s="102"/>
      <c r="G72" s="102"/>
      <c r="H72" s="102"/>
      <c r="I72" s="102"/>
      <c r="J72" s="102"/>
      <c r="K72" s="102"/>
      <c r="L72" s="102"/>
      <c r="M72" s="102"/>
      <c r="N72" s="102"/>
      <c r="O72" s="102"/>
      <c r="P72" s="103"/>
      <c r="Q72" s="103"/>
      <c r="R72" s="244"/>
    </row>
    <row r="73" spans="1:23" x14ac:dyDescent="0.3">
      <c r="A73" s="176">
        <v>6310</v>
      </c>
      <c r="B73" s="104" t="s">
        <v>94</v>
      </c>
      <c r="C73" s="222">
        <f t="shared" ref="C73:N75" si="65">$P73/12</f>
        <v>1250</v>
      </c>
      <c r="D73" s="222">
        <f t="shared" si="65"/>
        <v>1250</v>
      </c>
      <c r="E73" s="222">
        <f t="shared" si="65"/>
        <v>1250</v>
      </c>
      <c r="F73" s="222">
        <f t="shared" si="65"/>
        <v>1250</v>
      </c>
      <c r="G73" s="222">
        <f t="shared" si="65"/>
        <v>1250</v>
      </c>
      <c r="H73" s="222">
        <f t="shared" si="65"/>
        <v>1250</v>
      </c>
      <c r="I73" s="222">
        <f t="shared" si="65"/>
        <v>1250</v>
      </c>
      <c r="J73" s="222">
        <f t="shared" si="65"/>
        <v>1250</v>
      </c>
      <c r="K73" s="222">
        <f t="shared" si="65"/>
        <v>1250</v>
      </c>
      <c r="L73" s="222">
        <f t="shared" si="65"/>
        <v>1250</v>
      </c>
      <c r="M73" s="222">
        <f t="shared" si="65"/>
        <v>1250</v>
      </c>
      <c r="N73" s="222">
        <f t="shared" si="65"/>
        <v>1250</v>
      </c>
      <c r="O73" s="105">
        <f>SUM(C73:N73)</f>
        <v>15000</v>
      </c>
      <c r="P73" s="64">
        <v>15000</v>
      </c>
      <c r="Q73" s="135">
        <v>15000</v>
      </c>
      <c r="R73" s="278">
        <v>0</v>
      </c>
      <c r="T73" s="208">
        <f t="shared" ref="T73:T75" si="66">(P73+(P73*R73))</f>
        <v>15000</v>
      </c>
      <c r="U73" s="207">
        <f t="shared" ref="U73:U74" si="67">P73</f>
        <v>15000</v>
      </c>
      <c r="V73" s="209">
        <f t="shared" ref="V73:V75" si="68">T73</f>
        <v>15000</v>
      </c>
      <c r="W73" s="12"/>
    </row>
    <row r="74" spans="1:23" x14ac:dyDescent="0.3">
      <c r="A74" s="175">
        <v>6320</v>
      </c>
      <c r="B74" s="104" t="s">
        <v>95</v>
      </c>
      <c r="C74" s="222">
        <f t="shared" si="65"/>
        <v>2500</v>
      </c>
      <c r="D74" s="222">
        <f t="shared" si="65"/>
        <v>2500</v>
      </c>
      <c r="E74" s="222">
        <f t="shared" si="65"/>
        <v>2500</v>
      </c>
      <c r="F74" s="222">
        <f t="shared" si="65"/>
        <v>2500</v>
      </c>
      <c r="G74" s="222">
        <f t="shared" si="65"/>
        <v>2500</v>
      </c>
      <c r="H74" s="222">
        <f t="shared" si="65"/>
        <v>2500</v>
      </c>
      <c r="I74" s="222">
        <f t="shared" si="65"/>
        <v>2500</v>
      </c>
      <c r="J74" s="222">
        <f t="shared" si="65"/>
        <v>2500</v>
      </c>
      <c r="K74" s="222">
        <f t="shared" si="65"/>
        <v>2500</v>
      </c>
      <c r="L74" s="222">
        <f t="shared" si="65"/>
        <v>2500</v>
      </c>
      <c r="M74" s="222">
        <f t="shared" si="65"/>
        <v>2500</v>
      </c>
      <c r="N74" s="222">
        <f t="shared" si="65"/>
        <v>2500</v>
      </c>
      <c r="O74" s="105">
        <f>SUM(C74:N74)</f>
        <v>30000</v>
      </c>
      <c r="P74" s="64">
        <v>30000</v>
      </c>
      <c r="Q74" s="135">
        <v>30000</v>
      </c>
      <c r="R74" s="278">
        <v>0</v>
      </c>
      <c r="T74" s="208">
        <f t="shared" si="66"/>
        <v>30000</v>
      </c>
      <c r="U74" s="207">
        <f t="shared" si="67"/>
        <v>30000</v>
      </c>
      <c r="V74" s="209">
        <f t="shared" si="68"/>
        <v>30000</v>
      </c>
    </row>
    <row r="75" spans="1:23" x14ac:dyDescent="0.3">
      <c r="A75" s="176">
        <v>6330</v>
      </c>
      <c r="B75" s="104" t="s">
        <v>96</v>
      </c>
      <c r="C75" s="222">
        <f t="shared" si="65"/>
        <v>1000</v>
      </c>
      <c r="D75" s="222">
        <f t="shared" si="65"/>
        <v>1000</v>
      </c>
      <c r="E75" s="222">
        <f t="shared" si="65"/>
        <v>1000</v>
      </c>
      <c r="F75" s="222">
        <f t="shared" si="65"/>
        <v>1000</v>
      </c>
      <c r="G75" s="222">
        <f t="shared" si="65"/>
        <v>1000</v>
      </c>
      <c r="H75" s="222">
        <f t="shared" si="65"/>
        <v>1000</v>
      </c>
      <c r="I75" s="222">
        <f t="shared" si="65"/>
        <v>1000</v>
      </c>
      <c r="J75" s="222">
        <f t="shared" si="65"/>
        <v>1000</v>
      </c>
      <c r="K75" s="222">
        <f t="shared" si="65"/>
        <v>1000</v>
      </c>
      <c r="L75" s="222">
        <f t="shared" si="65"/>
        <v>1000</v>
      </c>
      <c r="M75" s="222">
        <f t="shared" si="65"/>
        <v>1000</v>
      </c>
      <c r="N75" s="222">
        <f t="shared" si="65"/>
        <v>1000</v>
      </c>
      <c r="O75" s="105">
        <f>SUM(C75:N75)</f>
        <v>12000</v>
      </c>
      <c r="P75" s="64">
        <v>12000</v>
      </c>
      <c r="Q75" s="135">
        <v>12000</v>
      </c>
      <c r="R75" s="278">
        <v>0</v>
      </c>
      <c r="T75" s="208">
        <f t="shared" si="66"/>
        <v>12000</v>
      </c>
      <c r="U75" s="201"/>
      <c r="V75" s="209">
        <f t="shared" si="68"/>
        <v>12000</v>
      </c>
    </row>
    <row r="76" spans="1:23" x14ac:dyDescent="0.3">
      <c r="A76" s="176"/>
      <c r="B76" s="106" t="s">
        <v>97</v>
      </c>
      <c r="C76" s="107">
        <f t="shared" ref="C76:P76" si="69">SUM(C73:C75)</f>
        <v>4750</v>
      </c>
      <c r="D76" s="107">
        <f t="shared" si="69"/>
        <v>4750</v>
      </c>
      <c r="E76" s="107">
        <f t="shared" si="69"/>
        <v>4750</v>
      </c>
      <c r="F76" s="107">
        <f t="shared" si="69"/>
        <v>4750</v>
      </c>
      <c r="G76" s="107">
        <f t="shared" si="69"/>
        <v>4750</v>
      </c>
      <c r="H76" s="107">
        <f t="shared" si="69"/>
        <v>4750</v>
      </c>
      <c r="I76" s="107">
        <f t="shared" si="69"/>
        <v>4750</v>
      </c>
      <c r="J76" s="107">
        <f t="shared" si="69"/>
        <v>4750</v>
      </c>
      <c r="K76" s="107">
        <f t="shared" si="69"/>
        <v>4750</v>
      </c>
      <c r="L76" s="107">
        <f t="shared" si="69"/>
        <v>4750</v>
      </c>
      <c r="M76" s="107">
        <f t="shared" si="69"/>
        <v>4750</v>
      </c>
      <c r="N76" s="107">
        <f t="shared" si="69"/>
        <v>4750</v>
      </c>
      <c r="O76" s="107">
        <f t="shared" si="69"/>
        <v>57000</v>
      </c>
      <c r="P76" s="108">
        <f t="shared" si="69"/>
        <v>57000</v>
      </c>
      <c r="Q76" s="68">
        <v>57000</v>
      </c>
      <c r="R76" s="236"/>
      <c r="T76" s="108">
        <f t="shared" ref="T76:V76" si="70">SUM(T73:T75)</f>
        <v>57000</v>
      </c>
      <c r="U76" s="108">
        <f t="shared" si="70"/>
        <v>45000</v>
      </c>
      <c r="V76" s="108">
        <f t="shared" si="70"/>
        <v>57000</v>
      </c>
    </row>
    <row r="77" spans="1:23" x14ac:dyDescent="0.3">
      <c r="A77" s="176"/>
      <c r="B77" s="106" t="s">
        <v>98</v>
      </c>
      <c r="C77" s="108">
        <f t="shared" ref="C77:P77" si="71">SUM(C71+C76)</f>
        <v>26402.264818655112</v>
      </c>
      <c r="D77" s="108">
        <f t="shared" si="71"/>
        <v>22821.003891205259</v>
      </c>
      <c r="E77" s="108">
        <f t="shared" si="71"/>
        <v>26926.146124251351</v>
      </c>
      <c r="F77" s="108">
        <f t="shared" si="71"/>
        <v>23362.52341357122</v>
      </c>
      <c r="G77" s="108">
        <f t="shared" si="71"/>
        <v>21838.705354161895</v>
      </c>
      <c r="H77" s="108">
        <f t="shared" si="71"/>
        <v>27002.496767965786</v>
      </c>
      <c r="I77" s="108">
        <f t="shared" si="71"/>
        <v>23950.830359174426</v>
      </c>
      <c r="J77" s="108">
        <f t="shared" si="71"/>
        <v>25319.582167181507</v>
      </c>
      <c r="K77" s="108">
        <f t="shared" si="71"/>
        <v>27817.27016061862</v>
      </c>
      <c r="L77" s="108">
        <f t="shared" si="71"/>
        <v>30144.924515229064</v>
      </c>
      <c r="M77" s="108">
        <f t="shared" si="71"/>
        <v>29184.714641537343</v>
      </c>
      <c r="N77" s="108">
        <f t="shared" si="71"/>
        <v>25090.517437176823</v>
      </c>
      <c r="O77" s="108">
        <f t="shared" si="71"/>
        <v>297323</v>
      </c>
      <c r="P77" s="108">
        <f t="shared" si="71"/>
        <v>309860.9796507284</v>
      </c>
      <c r="Q77" s="68">
        <v>294323</v>
      </c>
      <c r="R77" s="243"/>
      <c r="T77" s="108">
        <f t="shared" ref="T77:V77" si="72">SUM(T71+T76)</f>
        <v>309860.9796507284</v>
      </c>
      <c r="U77" s="108">
        <f t="shared" si="72"/>
        <v>297860.9796507284</v>
      </c>
      <c r="V77" s="108">
        <f t="shared" si="72"/>
        <v>309860.9796507284</v>
      </c>
    </row>
    <row r="78" spans="1:23" x14ac:dyDescent="0.3">
      <c r="A78" s="178"/>
      <c r="B78" s="109" t="s">
        <v>99</v>
      </c>
      <c r="C78" s="83">
        <f t="shared" ref="C78:O78" si="73">SUM(C49-C77)</f>
        <v>11936.212357585271</v>
      </c>
      <c r="D78" s="83">
        <f t="shared" si="73"/>
        <v>12697.030141056701</v>
      </c>
      <c r="E78" s="83">
        <f t="shared" si="73"/>
        <v>5557.1938108368595</v>
      </c>
      <c r="F78" s="83">
        <f t="shared" si="73"/>
        <v>3524.3812320310935</v>
      </c>
      <c r="G78" s="83">
        <f t="shared" si="73"/>
        <v>600.29334694457793</v>
      </c>
      <c r="H78" s="83">
        <f t="shared" si="73"/>
        <v>-1004.7070672719929</v>
      </c>
      <c r="I78" s="83">
        <f t="shared" si="73"/>
        <v>505.42648667314643</v>
      </c>
      <c r="J78" s="83">
        <f t="shared" si="73"/>
        <v>3946.2999421382992</v>
      </c>
      <c r="K78" s="83">
        <f t="shared" si="73"/>
        <v>1372.9190173488714</v>
      </c>
      <c r="L78" s="83">
        <f t="shared" si="73"/>
        <v>12073.141721303156</v>
      </c>
      <c r="M78" s="83">
        <f t="shared" si="73"/>
        <v>8230.0800266453007</v>
      </c>
      <c r="N78" s="83">
        <f t="shared" si="73"/>
        <v>10203.527620433379</v>
      </c>
      <c r="O78" s="83">
        <f t="shared" si="73"/>
        <v>-1109793.0313685639</v>
      </c>
      <c r="P78" s="83">
        <f>SUM(P49-P77)</f>
        <v>69641.798635724699</v>
      </c>
      <c r="Q78" s="138">
        <v>69719</v>
      </c>
      <c r="R78" s="243"/>
      <c r="T78" s="83">
        <f>SUM(T49-T77)</f>
        <v>69641.798635724699</v>
      </c>
      <c r="U78" s="83">
        <f t="shared" ref="U78:V78" si="74">SUM(U49-U77)</f>
        <v>81641.798635724699</v>
      </c>
      <c r="V78" s="83">
        <f t="shared" si="74"/>
        <v>69641.798635724699</v>
      </c>
    </row>
    <row r="79" spans="1:23" x14ac:dyDescent="0.3">
      <c r="A79" s="178"/>
      <c r="B79" s="110" t="s">
        <v>100</v>
      </c>
      <c r="C79" s="111">
        <f t="shared" ref="C79:O79" si="75">SUM(C78/C9)</f>
        <v>9.5536878792905247E-2</v>
      </c>
      <c r="D79" s="111">
        <f t="shared" si="75"/>
        <v>0.11247026384393607</v>
      </c>
      <c r="E79" s="111">
        <f t="shared" si="75"/>
        <v>5.619126701515624E-2</v>
      </c>
      <c r="F79" s="111">
        <f t="shared" si="75"/>
        <v>4.0097151487821052E-2</v>
      </c>
      <c r="G79" s="111">
        <f t="shared" si="75"/>
        <v>8.4613701953857885E-3</v>
      </c>
      <c r="H79" s="111">
        <f t="shared" si="75"/>
        <v>-1.2449613215554892E-2</v>
      </c>
      <c r="I79" s="111">
        <f t="shared" si="75"/>
        <v>6.3892404290698292E-3</v>
      </c>
      <c r="J79" s="111">
        <f t="shared" si="75"/>
        <v>4.3882361311401295E-2</v>
      </c>
      <c r="K79" s="111">
        <f t="shared" si="75"/>
        <v>1.4671479124597179E-2</v>
      </c>
      <c r="L79" s="111">
        <f t="shared" si="75"/>
        <v>9.1950301580982496E-2</v>
      </c>
      <c r="M79" s="111">
        <f t="shared" si="75"/>
        <v>6.5984618651059021E-2</v>
      </c>
      <c r="N79" s="111">
        <f t="shared" si="75"/>
        <v>8.865826071821363E-2</v>
      </c>
      <c r="O79" s="111" t="e">
        <f t="shared" si="75"/>
        <v>#DIV/0!</v>
      </c>
      <c r="P79" s="111">
        <f>SUM(P78/P9)</f>
        <v>5.7555198824790793E-2</v>
      </c>
      <c r="Q79" s="124">
        <v>5.7619008264462812E-2</v>
      </c>
      <c r="R79" s="235"/>
      <c r="T79" s="111">
        <f>SUM(T78/T9)</f>
        <v>5.7555198824790793E-2</v>
      </c>
      <c r="U79" s="111">
        <f t="shared" ref="U79:V79" si="76">SUM(U78/U9)</f>
        <v>6.7472553049229139E-2</v>
      </c>
      <c r="V79" s="111">
        <f t="shared" si="76"/>
        <v>5.7555198824790793E-2</v>
      </c>
    </row>
    <row r="80" spans="1:23" hidden="1" x14ac:dyDescent="0.3">
      <c r="A80" s="176"/>
      <c r="B80" s="198" t="s">
        <v>62</v>
      </c>
      <c r="C80" s="199" t="e">
        <f>SUM(C$71+C$76)/#REF!</f>
        <v>#REF!</v>
      </c>
      <c r="D80" s="199" t="e">
        <f>SUM(D$71+D$76)/#REF!</f>
        <v>#REF!</v>
      </c>
      <c r="E80" s="199" t="e">
        <f>SUM(E$71+E$76)/#REF!</f>
        <v>#REF!</v>
      </c>
      <c r="F80" s="199" t="e">
        <f>SUM(F$71+F$76)/#REF!</f>
        <v>#REF!</v>
      </c>
      <c r="G80" s="199" t="e">
        <f>SUM(G$71+G$76)/#REF!</f>
        <v>#REF!</v>
      </c>
      <c r="H80" s="199" t="e">
        <f>SUM(H$71+H$76)/#REF!</f>
        <v>#REF!</v>
      </c>
      <c r="I80" s="199" t="e">
        <f>SUM(I$71+I$76)/#REF!</f>
        <v>#REF!</v>
      </c>
      <c r="J80" s="199" t="e">
        <f>SUM(J$71+J$76)/#REF!</f>
        <v>#REF!</v>
      </c>
      <c r="K80" s="199" t="e">
        <f>SUM(K$71+K$76)/#REF!</f>
        <v>#REF!</v>
      </c>
      <c r="L80" s="199" t="e">
        <f>SUM(L$71+L$76)/#REF!</f>
        <v>#REF!</v>
      </c>
      <c r="M80" s="199" t="e">
        <f>SUM(M$71+M$76)/#REF!</f>
        <v>#REF!</v>
      </c>
      <c r="N80" s="199" t="e">
        <f>SUM(N$71+N$76)/#REF!</f>
        <v>#REF!</v>
      </c>
      <c r="O80" s="199" t="e">
        <f>SUM(O$71+O$76)/#REF!</f>
        <v>#REF!</v>
      </c>
      <c r="P80" s="200" t="e">
        <f>SUM(P$71+P$76)/#REF!</f>
        <v>#REF!</v>
      </c>
      <c r="Q80" s="137"/>
      <c r="R80" s="235"/>
      <c r="T80" s="86"/>
      <c r="U80" s="86"/>
      <c r="V80" s="86"/>
    </row>
    <row r="81" spans="1:22" s="205" customFormat="1" x14ac:dyDescent="0.3">
      <c r="A81" s="202"/>
      <c r="B81" s="203" t="s">
        <v>136</v>
      </c>
      <c r="C81" s="206">
        <f>C77/C50</f>
        <v>86040.279465479602</v>
      </c>
      <c r="D81" s="206">
        <f t="shared" ref="D81:P81" si="77">D77/D50</f>
        <v>72535.442132779441</v>
      </c>
      <c r="E81" s="206">
        <f t="shared" si="77"/>
        <v>81978.551405467617</v>
      </c>
      <c r="F81" s="206">
        <f t="shared" si="77"/>
        <v>76374.486135625048</v>
      </c>
      <c r="G81" s="206">
        <f t="shared" si="77"/>
        <v>69047.228201609862</v>
      </c>
      <c r="H81" s="206">
        <f t="shared" si="77"/>
        <v>83820.663561473484</v>
      </c>
      <c r="I81" s="206">
        <f t="shared" si="77"/>
        <v>77471.034272969773</v>
      </c>
      <c r="J81" s="206">
        <f t="shared" si="77"/>
        <v>77802.762567614904</v>
      </c>
      <c r="K81" s="206">
        <f t="shared" si="77"/>
        <v>89176.129658856356</v>
      </c>
      <c r="L81" s="206">
        <f t="shared" si="77"/>
        <v>93752.531735323399</v>
      </c>
      <c r="M81" s="206">
        <f t="shared" si="77"/>
        <v>97291.171354983715</v>
      </c>
      <c r="N81" s="206">
        <f t="shared" si="77"/>
        <v>81816.202771499127</v>
      </c>
      <c r="O81" s="206" t="e">
        <f t="shared" si="77"/>
        <v>#DIV/0!</v>
      </c>
      <c r="P81" s="206">
        <f t="shared" si="77"/>
        <v>987955.4253879945</v>
      </c>
      <c r="Q81" s="204"/>
      <c r="R81" s="245"/>
      <c r="S81" s="247"/>
      <c r="T81" s="206">
        <f t="shared" ref="T81:V81" si="78">T77/T50</f>
        <v>987955.4253879945</v>
      </c>
      <c r="U81" s="206">
        <f t="shared" si="78"/>
        <v>949694.83149837574</v>
      </c>
      <c r="V81" s="206">
        <f t="shared" si="78"/>
        <v>987955.4253879945</v>
      </c>
    </row>
    <row r="82" spans="1:22" x14ac:dyDescent="0.3">
      <c r="A82" s="176"/>
      <c r="B82" s="12"/>
      <c r="C82" s="11"/>
      <c r="D82" s="11"/>
      <c r="E82" s="11"/>
      <c r="F82" s="11"/>
      <c r="G82" s="11"/>
      <c r="H82" s="12"/>
      <c r="I82" s="12"/>
      <c r="J82" s="12"/>
      <c r="K82" s="12"/>
      <c r="L82" s="12"/>
      <c r="M82" s="12"/>
      <c r="N82" s="12"/>
      <c r="O82" s="12"/>
      <c r="P82" s="13"/>
      <c r="Q82" s="13"/>
      <c r="R82" s="243"/>
    </row>
    <row r="83" spans="1:22" ht="15.75" customHeight="1" x14ac:dyDescent="0.3">
      <c r="A83" s="176"/>
      <c r="B83" s="622" t="s">
        <v>43</v>
      </c>
      <c r="C83" s="623"/>
      <c r="D83" s="623"/>
      <c r="E83" s="623"/>
      <c r="F83" s="623"/>
      <c r="G83" s="623"/>
      <c r="H83" s="623"/>
      <c r="I83" s="623"/>
      <c r="J83" s="623"/>
      <c r="K83" s="623"/>
      <c r="L83" s="623"/>
      <c r="M83" s="623"/>
      <c r="N83" s="623"/>
      <c r="O83" s="623"/>
      <c r="P83" s="624"/>
      <c r="Q83" s="123"/>
      <c r="R83" s="243"/>
    </row>
    <row r="84" spans="1:22" x14ac:dyDescent="0.3">
      <c r="A84" s="176"/>
      <c r="B84" s="114"/>
      <c r="C84" s="115"/>
      <c r="D84" s="115"/>
      <c r="E84" s="115"/>
      <c r="F84" s="115"/>
      <c r="G84" s="115"/>
      <c r="H84" s="114"/>
      <c r="I84" s="114"/>
      <c r="J84" s="114"/>
      <c r="K84" s="114"/>
      <c r="L84" s="114"/>
      <c r="M84" s="114"/>
      <c r="N84" s="114"/>
      <c r="O84" s="114"/>
      <c r="P84" s="20"/>
      <c r="Q84" s="20"/>
      <c r="R84" s="235"/>
    </row>
    <row r="85" spans="1:22" x14ac:dyDescent="0.3">
      <c r="A85" s="176"/>
      <c r="B85" s="4"/>
      <c r="C85" s="3"/>
      <c r="D85" s="3"/>
      <c r="E85" s="3"/>
      <c r="F85" s="3"/>
      <c r="G85" s="3"/>
      <c r="H85" s="4"/>
      <c r="I85" s="4"/>
      <c r="J85" s="4"/>
      <c r="K85" s="4"/>
      <c r="L85" s="4"/>
      <c r="M85" s="4"/>
      <c r="N85" s="4"/>
      <c r="O85" s="4"/>
      <c r="P85" s="21"/>
      <c r="Q85" s="21"/>
      <c r="R85" s="235"/>
    </row>
    <row r="86" spans="1:22" x14ac:dyDescent="0.3">
      <c r="A86" s="176"/>
      <c r="B86" s="4"/>
      <c r="C86" s="3"/>
      <c r="D86" s="3"/>
      <c r="E86" s="3"/>
      <c r="F86" s="3"/>
      <c r="G86" s="3"/>
      <c r="H86" s="4"/>
      <c r="I86" s="4"/>
      <c r="J86" s="4"/>
      <c r="K86" s="4"/>
      <c r="L86" s="4"/>
      <c r="M86" s="4"/>
      <c r="N86" s="4"/>
      <c r="O86" s="4"/>
      <c r="P86" s="21"/>
      <c r="Q86" s="21"/>
      <c r="R86" s="235"/>
    </row>
    <row r="87" spans="1:22" x14ac:dyDescent="0.3">
      <c r="A87" s="176"/>
      <c r="B87" s="4"/>
      <c r="C87" s="3"/>
      <c r="D87" s="3"/>
      <c r="E87" s="3"/>
      <c r="F87" s="3"/>
      <c r="G87" s="3"/>
      <c r="H87" s="4"/>
      <c r="I87" s="4"/>
      <c r="J87" s="4"/>
      <c r="K87" s="4"/>
      <c r="L87" s="4"/>
      <c r="M87" s="4"/>
      <c r="N87" s="4"/>
      <c r="O87" s="4"/>
      <c r="P87" s="21"/>
      <c r="Q87" s="21"/>
      <c r="R87" s="235"/>
    </row>
    <row r="88" spans="1:22" x14ac:dyDescent="0.3">
      <c r="A88" s="176"/>
      <c r="B88" s="4"/>
      <c r="C88" s="3"/>
      <c r="D88" s="3"/>
      <c r="E88" s="3"/>
      <c r="F88" s="3"/>
      <c r="G88" s="3"/>
      <c r="H88" s="4"/>
      <c r="I88" s="4"/>
      <c r="J88" s="4"/>
      <c r="K88" s="4"/>
      <c r="L88" s="4"/>
      <c r="M88" s="4"/>
      <c r="N88" s="4"/>
      <c r="O88" s="4"/>
      <c r="P88" s="21"/>
      <c r="Q88" s="21"/>
      <c r="R88" s="235"/>
    </row>
    <row r="89" spans="1:22" x14ac:dyDescent="0.3">
      <c r="A89" s="176"/>
      <c r="B89" s="4"/>
      <c r="C89" s="3"/>
      <c r="D89" s="3"/>
      <c r="E89" s="3"/>
      <c r="F89" s="3"/>
      <c r="G89" s="3"/>
      <c r="H89" s="4"/>
      <c r="I89" s="4"/>
      <c r="J89" s="4"/>
      <c r="K89" s="4"/>
      <c r="L89" s="4"/>
      <c r="M89" s="4"/>
      <c r="N89" s="4"/>
      <c r="O89" s="4"/>
      <c r="P89" s="21"/>
      <c r="Q89" s="21"/>
      <c r="R89" s="235"/>
    </row>
    <row r="90" spans="1:22" x14ac:dyDescent="0.3">
      <c r="A90" s="176"/>
      <c r="B90" s="4"/>
      <c r="C90" s="3"/>
      <c r="D90" s="3"/>
      <c r="E90" s="3"/>
      <c r="F90" s="3"/>
      <c r="G90" s="3"/>
      <c r="H90" s="3"/>
      <c r="I90" s="3"/>
      <c r="J90" s="3"/>
      <c r="K90" s="3"/>
      <c r="L90" s="3"/>
      <c r="M90" s="3"/>
      <c r="N90" s="3"/>
      <c r="O90" s="4"/>
      <c r="P90" s="21"/>
      <c r="Q90" s="21"/>
      <c r="R90" s="235"/>
    </row>
    <row r="91" spans="1:22" x14ac:dyDescent="0.3">
      <c r="A91" s="179"/>
    </row>
  </sheetData>
  <sheetProtection algorithmName="SHA-512" hashValue="uPqu3KRAQO24iiw8/mu/tqZ89VMTolYxT5z7lYO7HwA5FjUr59QgsLxdCKD0YXIf7f6TrRbU8cLcu8SFNGUoYA==" saltValue="pGdGDkRnuAypLpigxD50FA==" spinCount="100000" sheet="1" objects="1" scenarios="1"/>
  <mergeCells count="1">
    <mergeCell ref="B83:P83"/>
  </mergeCells>
  <conditionalFormatting sqref="C1:V1048576">
    <cfRule type="cellIs" dxfId="2" priority="1" operator="lessThan">
      <formula>0</formula>
    </cfRule>
  </conditionalFormatting>
  <printOptions gridLines="1"/>
  <pageMargins left="0.7" right="0.7" top="0.75" bottom="0.75" header="0.3" footer="0.3"/>
  <headerFooter>
    <oddFooter>&amp;R&amp;P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24678-65DF-4D67-A81B-94777397F076}">
  <sheetPr>
    <pageSetUpPr fitToPage="1"/>
  </sheetPr>
  <dimension ref="A1:BP113"/>
  <sheetViews>
    <sheetView zoomScale="85" zoomScaleNormal="85" workbookViewId="0">
      <pane xSplit="2" topLeftCell="O1" activePane="topRight" state="frozen"/>
      <selection pane="topRight" activeCell="C1" sqref="C1"/>
    </sheetView>
  </sheetViews>
  <sheetFormatPr defaultColWidth="9.109375" defaultRowHeight="14.4" x14ac:dyDescent="0.3"/>
  <cols>
    <col min="1" max="1" width="10" customWidth="1"/>
    <col min="2" max="2" width="32.6640625" customWidth="1"/>
    <col min="3" max="3" width="13.109375" customWidth="1"/>
    <col min="4" max="6" width="13.109375" hidden="1" customWidth="1"/>
    <col min="7" max="7" width="13.109375" customWidth="1"/>
    <col min="8" max="10" width="13.109375" hidden="1" customWidth="1"/>
    <col min="11" max="11" width="13.109375" customWidth="1"/>
    <col min="12" max="14" width="13.109375" hidden="1" customWidth="1"/>
    <col min="15" max="15" width="13.109375" customWidth="1"/>
    <col min="16" max="18" width="13.109375" hidden="1" customWidth="1"/>
    <col min="19" max="19" width="13.109375" customWidth="1"/>
    <col min="20" max="22" width="13.109375" hidden="1" customWidth="1"/>
    <col min="23" max="23" width="13.109375" customWidth="1"/>
    <col min="24" max="26" width="13.109375" hidden="1" customWidth="1"/>
    <col min="27" max="27" width="13.109375" customWidth="1"/>
    <col min="28" max="30" width="13.109375" hidden="1" customWidth="1"/>
    <col min="31" max="31" width="13.109375" customWidth="1"/>
    <col min="32" max="34" width="13.109375" hidden="1" customWidth="1"/>
    <col min="35" max="35" width="13.109375" customWidth="1"/>
    <col min="36" max="38" width="13.109375" hidden="1" customWidth="1"/>
    <col min="39" max="39" width="13.109375" customWidth="1"/>
    <col min="40" max="42" width="13.109375" hidden="1" customWidth="1"/>
    <col min="43" max="43" width="13.109375" customWidth="1"/>
    <col min="44" max="46" width="13.109375" hidden="1" customWidth="1"/>
    <col min="47" max="47" width="13.33203125" customWidth="1"/>
    <col min="48" max="50" width="13.33203125" hidden="1" customWidth="1"/>
    <col min="51" max="51" width="17.33203125" hidden="1" customWidth="1"/>
    <col min="52" max="53" width="17.33203125" customWidth="1"/>
    <col min="54" max="54" width="14" style="152" customWidth="1"/>
    <col min="55" max="58" width="14" customWidth="1"/>
  </cols>
  <sheetData>
    <row r="1" spans="1:68" ht="66" customHeight="1" x14ac:dyDescent="0.75">
      <c r="A1" s="174"/>
      <c r="B1" s="48"/>
      <c r="C1" s="2"/>
      <c r="K1" s="3"/>
      <c r="L1" s="3"/>
      <c r="M1" s="3"/>
      <c r="N1" s="3"/>
      <c r="O1" s="3"/>
      <c r="P1" s="3"/>
      <c r="Q1" s="3"/>
      <c r="R1" s="3"/>
      <c r="S1" s="2"/>
      <c r="T1" s="2"/>
      <c r="U1" s="2"/>
      <c r="V1" s="2"/>
      <c r="W1" s="4"/>
      <c r="X1" s="4"/>
      <c r="Y1" s="4"/>
      <c r="Z1" s="4"/>
      <c r="AA1" s="4"/>
      <c r="AB1" s="4"/>
      <c r="AC1" s="4"/>
      <c r="AD1" s="4"/>
      <c r="AE1" s="2"/>
      <c r="AF1" s="2"/>
      <c r="AG1" s="2"/>
      <c r="AH1" s="2"/>
      <c r="AI1" s="4"/>
      <c r="AJ1" s="4"/>
      <c r="AK1" s="4"/>
      <c r="AL1" s="4"/>
      <c r="AM1" s="4"/>
      <c r="AN1" s="4"/>
      <c r="AO1" s="4"/>
      <c r="AP1" s="4"/>
      <c r="AQ1" s="4"/>
      <c r="AR1" s="4"/>
      <c r="AS1" s="4"/>
      <c r="AT1" s="4"/>
      <c r="AU1" s="4"/>
      <c r="AV1" s="4"/>
      <c r="AW1" s="4"/>
      <c r="AX1" s="4"/>
      <c r="AY1" s="49"/>
      <c r="AZ1" s="8"/>
      <c r="BA1" s="8"/>
      <c r="BB1" s="146"/>
    </row>
    <row r="2" spans="1:68" s="22" customFormat="1" ht="27.75" customHeight="1" x14ac:dyDescent="0.3">
      <c r="A2" s="172" t="s">
        <v>0</v>
      </c>
      <c r="B2" s="279" t="s">
        <v>44</v>
      </c>
      <c r="C2" s="52" t="s">
        <v>45</v>
      </c>
      <c r="D2" s="210" t="s">
        <v>137</v>
      </c>
      <c r="E2" s="211" t="s">
        <v>138</v>
      </c>
      <c r="F2" s="211" t="s">
        <v>139</v>
      </c>
      <c r="G2" s="52" t="s">
        <v>46</v>
      </c>
      <c r="H2" s="210" t="s">
        <v>137</v>
      </c>
      <c r="I2" s="211" t="s">
        <v>138</v>
      </c>
      <c r="J2" s="211" t="s">
        <v>139</v>
      </c>
      <c r="K2" s="52" t="s">
        <v>47</v>
      </c>
      <c r="L2" s="52"/>
      <c r="M2" s="211" t="s">
        <v>138</v>
      </c>
      <c r="N2" s="211" t="s">
        <v>139</v>
      </c>
      <c r="O2" s="52" t="s">
        <v>48</v>
      </c>
      <c r="P2" s="52"/>
      <c r="Q2" s="211" t="s">
        <v>138</v>
      </c>
      <c r="R2" s="211" t="s">
        <v>139</v>
      </c>
      <c r="S2" s="52" t="s">
        <v>49</v>
      </c>
      <c r="T2" s="52"/>
      <c r="U2" s="211" t="s">
        <v>138</v>
      </c>
      <c r="V2" s="211" t="s">
        <v>139</v>
      </c>
      <c r="W2" s="52" t="s">
        <v>50</v>
      </c>
      <c r="X2" s="52"/>
      <c r="Y2" s="211" t="s">
        <v>138</v>
      </c>
      <c r="Z2" s="211" t="s">
        <v>139</v>
      </c>
      <c r="AA2" s="52" t="s">
        <v>51</v>
      </c>
      <c r="AB2" s="52"/>
      <c r="AC2" s="211" t="s">
        <v>138</v>
      </c>
      <c r="AD2" s="211" t="s">
        <v>139</v>
      </c>
      <c r="AE2" s="52" t="s">
        <v>52</v>
      </c>
      <c r="AF2" s="52"/>
      <c r="AG2" s="211" t="s">
        <v>138</v>
      </c>
      <c r="AH2" s="211" t="s">
        <v>139</v>
      </c>
      <c r="AI2" s="52" t="s">
        <v>53</v>
      </c>
      <c r="AJ2" s="52"/>
      <c r="AK2" s="211" t="s">
        <v>138</v>
      </c>
      <c r="AL2" s="211" t="s">
        <v>139</v>
      </c>
      <c r="AM2" s="52" t="s">
        <v>54</v>
      </c>
      <c r="AN2" s="53"/>
      <c r="AO2" s="211" t="s">
        <v>138</v>
      </c>
      <c r="AP2" s="211" t="s">
        <v>139</v>
      </c>
      <c r="AQ2" s="53" t="s">
        <v>55</v>
      </c>
      <c r="AR2" s="53"/>
      <c r="AS2" s="211" t="s">
        <v>138</v>
      </c>
      <c r="AT2" s="211" t="s">
        <v>139</v>
      </c>
      <c r="AU2" s="52" t="s">
        <v>56</v>
      </c>
      <c r="AV2" s="53"/>
      <c r="AW2" s="211" t="s">
        <v>138</v>
      </c>
      <c r="AX2" s="211" t="s">
        <v>139</v>
      </c>
      <c r="AY2" s="261"/>
      <c r="AZ2" s="55" t="s">
        <v>57</v>
      </c>
      <c r="BA2" s="269" t="s">
        <v>140</v>
      </c>
      <c r="BB2" s="193" t="s">
        <v>129</v>
      </c>
      <c r="BC2" s="193" t="s">
        <v>130</v>
      </c>
      <c r="BD2" s="189" t="s">
        <v>131</v>
      </c>
      <c r="BE2" s="190" t="s">
        <v>132</v>
      </c>
      <c r="BF2" s="191" t="s">
        <v>133</v>
      </c>
      <c r="BG2"/>
      <c r="BH2"/>
      <c r="BI2"/>
      <c r="BJ2"/>
      <c r="BK2"/>
      <c r="BL2"/>
      <c r="BM2"/>
      <c r="BN2"/>
      <c r="BO2"/>
      <c r="BP2"/>
    </row>
    <row r="3" spans="1:68" x14ac:dyDescent="0.3">
      <c r="A3" s="173"/>
      <c r="B3" s="56" t="s">
        <v>58</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2"/>
      <c r="AZ3" s="13"/>
      <c r="BA3" s="13"/>
      <c r="BB3" s="148"/>
    </row>
    <row r="4" spans="1:68" ht="15" hidden="1" customHeight="1" x14ac:dyDescent="0.3">
      <c r="A4" s="173"/>
      <c r="B4" s="56" t="s">
        <v>59</v>
      </c>
      <c r="C4" s="57">
        <v>0.13</v>
      </c>
      <c r="D4" s="57"/>
      <c r="E4" s="57"/>
      <c r="F4" s="57"/>
      <c r="G4" s="58">
        <v>0.04</v>
      </c>
      <c r="H4" s="57"/>
      <c r="I4" s="57"/>
      <c r="J4" s="57"/>
      <c r="K4" s="58">
        <v>0.08</v>
      </c>
      <c r="L4" s="58"/>
      <c r="M4" s="57"/>
      <c r="N4" s="57"/>
      <c r="O4" s="58">
        <v>0.05</v>
      </c>
      <c r="P4" s="58"/>
      <c r="Q4" s="57"/>
      <c r="R4" s="57"/>
      <c r="S4" s="58">
        <v>0.04</v>
      </c>
      <c r="T4" s="58"/>
      <c r="U4" s="57"/>
      <c r="V4" s="57"/>
      <c r="W4" s="59">
        <v>0.05</v>
      </c>
      <c r="X4" s="59"/>
      <c r="Y4" s="57"/>
      <c r="Z4" s="57"/>
      <c r="AA4" s="59">
        <v>7.0000000000000007E-2</v>
      </c>
      <c r="AB4" s="59"/>
      <c r="AC4" s="57"/>
      <c r="AD4" s="57"/>
      <c r="AE4" s="59">
        <v>0.1</v>
      </c>
      <c r="AF4" s="59"/>
      <c r="AG4" s="57"/>
      <c r="AH4" s="57"/>
      <c r="AI4" s="59">
        <v>0.06</v>
      </c>
      <c r="AJ4" s="59"/>
      <c r="AK4" s="57"/>
      <c r="AL4" s="57"/>
      <c r="AM4" s="59">
        <v>0.17</v>
      </c>
      <c r="AN4" s="59"/>
      <c r="AO4" s="57"/>
      <c r="AP4" s="57"/>
      <c r="AQ4" s="59">
        <v>0.16</v>
      </c>
      <c r="AR4" s="59"/>
      <c r="AS4" s="57"/>
      <c r="AT4" s="57"/>
      <c r="AU4" s="59">
        <v>0.05</v>
      </c>
      <c r="AV4" s="59"/>
      <c r="AW4" s="57"/>
      <c r="AX4" s="57"/>
      <c r="AY4" s="14">
        <f>SUM(C4:AU4)</f>
        <v>1</v>
      </c>
      <c r="AZ4" s="13"/>
      <c r="BA4" s="13"/>
      <c r="BB4" s="194"/>
    </row>
    <row r="5" spans="1:68" x14ac:dyDescent="0.3">
      <c r="A5" s="175">
        <v>4100</v>
      </c>
      <c r="B5" s="125" t="s">
        <v>102</v>
      </c>
      <c r="C5" s="221">
        <f>(D5+(D5*E5))+((D5+(D5*E5))*F5)</f>
        <v>82940</v>
      </c>
      <c r="D5" s="158">
        <f>'TTM Orignal - With Levers'!C5</f>
        <v>82940</v>
      </c>
      <c r="E5" s="215">
        <v>0</v>
      </c>
      <c r="F5" s="215">
        <v>0</v>
      </c>
      <c r="G5" s="221">
        <f>(H5+(H5*I5))+((H5+(H5*I5))*J5)</f>
        <v>74230</v>
      </c>
      <c r="H5" s="158">
        <f>'TTM Orignal - With Levers'!D5</f>
        <v>74230</v>
      </c>
      <c r="I5" s="215">
        <v>0</v>
      </c>
      <c r="J5" s="215">
        <v>0</v>
      </c>
      <c r="K5" s="158">
        <f>(L5+(L5*M5))+((L5+(L5*M5))*N5)</f>
        <v>64090</v>
      </c>
      <c r="L5" s="158">
        <f>'TTM Orignal - With Levers'!E5</f>
        <v>64090</v>
      </c>
      <c r="M5" s="215">
        <v>0</v>
      </c>
      <c r="N5" s="215">
        <v>0</v>
      </c>
      <c r="O5" s="188">
        <f>(P5+(P5*Q5))+((P5+(P5*Q5))*R5)</f>
        <v>59598.500000000007</v>
      </c>
      <c r="P5" s="158">
        <f>'TTM Orignal - With Levers'!F5</f>
        <v>56225.000000000007</v>
      </c>
      <c r="Q5" s="215">
        <v>0</v>
      </c>
      <c r="R5" s="248">
        <v>0.06</v>
      </c>
      <c r="S5" s="188">
        <f>(T5+(T5*U5))+((T5+(T5*U5))*V5)</f>
        <v>46783.1</v>
      </c>
      <c r="T5" s="158">
        <f>'TTM Orignal - With Levers'!G5</f>
        <v>44135</v>
      </c>
      <c r="U5" s="215">
        <v>0</v>
      </c>
      <c r="V5" s="248">
        <v>0.06</v>
      </c>
      <c r="W5" s="188">
        <f>(X5+(X5*Y5))+((X5+(X5*Y5))*Z5)</f>
        <v>54155.4</v>
      </c>
      <c r="X5" s="158">
        <f>'TTM Orignal - With Levers'!H5</f>
        <v>51090</v>
      </c>
      <c r="Y5" s="218">
        <v>0</v>
      </c>
      <c r="Z5" s="248">
        <v>0.06</v>
      </c>
      <c r="AA5" s="188">
        <f>(AB5+(AB5*AC5))+((AB5+(AB5*AC5))*AD5)</f>
        <v>52639.6</v>
      </c>
      <c r="AB5" s="158">
        <f>'TTM Orignal - With Levers'!I5</f>
        <v>49660</v>
      </c>
      <c r="AC5" s="215">
        <v>0</v>
      </c>
      <c r="AD5" s="248">
        <v>0.06</v>
      </c>
      <c r="AE5" s="188">
        <f t="shared" ref="AE5:AE8" si="0">(AF5+(AF5*AG5))+((AF5+(AF5*AG5))*AH5)</f>
        <v>67760.394</v>
      </c>
      <c r="AF5" s="158">
        <f>'TTM Orignal - With Levers'!J5</f>
        <v>57590</v>
      </c>
      <c r="AG5" s="248">
        <v>0.11</v>
      </c>
      <c r="AH5" s="248">
        <v>0.06</v>
      </c>
      <c r="AI5" s="188">
        <f t="shared" ref="AI5:AI8" si="1">(AJ5+(AJ5*AK5))+((AJ5+(AJ5*AK5))*AL5)</f>
        <v>80129.322</v>
      </c>
      <c r="AJ5" s="158">
        <f>'TTM Orignal - With Levers'!K5</f>
        <v>59995</v>
      </c>
      <c r="AK5" s="248">
        <v>0.26</v>
      </c>
      <c r="AL5" s="248">
        <v>0.06</v>
      </c>
      <c r="AM5" s="188">
        <f t="shared" ref="AM5:AM8" si="2">(AN5+(AN5*AO5))+((AN5+(AN5*AO5))*AP5)</f>
        <v>115509.47199999999</v>
      </c>
      <c r="AN5" s="158">
        <f>'TTM Orignal - With Levers'!L5</f>
        <v>87880</v>
      </c>
      <c r="AO5" s="248">
        <v>0.24</v>
      </c>
      <c r="AP5" s="248">
        <v>0.06</v>
      </c>
      <c r="AQ5" s="188">
        <f t="shared" ref="AQ5:AQ8" si="3">(AR5+(AR5*AS5))+((AR5+(AR5*AS5))*AT5)</f>
        <v>102862.18800000001</v>
      </c>
      <c r="AR5" s="158">
        <f>'TTM Orignal - With Levers'!M5</f>
        <v>82940</v>
      </c>
      <c r="AS5" s="248">
        <v>0.17</v>
      </c>
      <c r="AT5" s="248">
        <v>0.06</v>
      </c>
      <c r="AU5" s="188">
        <f t="shared" ref="AU5:AU8" si="4">(AV5+(AV5*AW5))+((AV5+(AV5*AW5))*AX5)</f>
        <v>97495.100625000006</v>
      </c>
      <c r="AV5" s="158">
        <f>'TTM Orignal - With Levers'!N5</f>
        <v>75724.350000000006</v>
      </c>
      <c r="AW5" s="248">
        <v>0.25</v>
      </c>
      <c r="AX5" s="248">
        <v>0.03</v>
      </c>
      <c r="AY5" s="63"/>
      <c r="AZ5" s="294">
        <f>SUM(C5,G5,K5,O5,S5,W5,AA5,AE5,AI5,AM5,AQ5,AU5)</f>
        <v>898193.07662499987</v>
      </c>
      <c r="BA5" s="291">
        <f>'TTM Original - Good'!P5</f>
        <v>786499.35</v>
      </c>
      <c r="BB5" s="266"/>
      <c r="BC5" s="197"/>
      <c r="BD5" s="208">
        <f>(AZ5+(AZ5*BB5))</f>
        <v>898193.07662499987</v>
      </c>
      <c r="BE5" s="207">
        <f>(AZ5+(AZ5*BC5))</f>
        <v>898193.07662499987</v>
      </c>
      <c r="BF5" s="209">
        <f>(BD5+(BD5*BC5))</f>
        <v>898193.07662499987</v>
      </c>
      <c r="BG5" s="170">
        <f>BF5/$BF$9</f>
        <v>0.66537134573967582</v>
      </c>
    </row>
    <row r="6" spans="1:68" x14ac:dyDescent="0.3">
      <c r="A6" s="175">
        <v>4200</v>
      </c>
      <c r="B6" s="125" t="s">
        <v>103</v>
      </c>
      <c r="C6" s="221">
        <f>D6+(D6*E6)</f>
        <v>15312</v>
      </c>
      <c r="D6" s="158">
        <f>'TTM Orignal - With Levers'!C6</f>
        <v>15312</v>
      </c>
      <c r="E6" s="215">
        <v>0</v>
      </c>
      <c r="F6" s="215">
        <v>0</v>
      </c>
      <c r="G6" s="221">
        <f>H6+(H6*I6)</f>
        <v>13704</v>
      </c>
      <c r="H6" s="158">
        <f>'TTM Orignal - With Levers'!D6</f>
        <v>13704</v>
      </c>
      <c r="I6" s="215">
        <v>0</v>
      </c>
      <c r="J6" s="215">
        <v>0</v>
      </c>
      <c r="K6" s="158">
        <f t="shared" ref="K6:K8" si="5">(L6+(L6*M6))+((L6+(L6*M6))*N6)</f>
        <v>11832</v>
      </c>
      <c r="L6" s="158">
        <f>'TTM Orignal - With Levers'!E6</f>
        <v>11832</v>
      </c>
      <c r="M6" s="215">
        <v>0</v>
      </c>
      <c r="N6" s="215">
        <v>0</v>
      </c>
      <c r="O6" s="188">
        <f t="shared" ref="O6:O8" si="6">(P6+(P6*Q6))+((P6+(P6*Q6))*R6)</f>
        <v>10691.4</v>
      </c>
      <c r="P6" s="158">
        <f>'TTM Orignal - With Levers'!F6</f>
        <v>10380</v>
      </c>
      <c r="Q6" s="215">
        <v>0</v>
      </c>
      <c r="R6" s="248">
        <v>0.03</v>
      </c>
      <c r="S6" s="188">
        <f t="shared" ref="S6:S8" si="7">(T6+(T6*U6))+((T6+(T6*U6))*V6)</f>
        <v>8392.44</v>
      </c>
      <c r="T6" s="158">
        <f>'TTM Orignal - With Levers'!G6</f>
        <v>8148</v>
      </c>
      <c r="U6" s="215">
        <v>0</v>
      </c>
      <c r="V6" s="248">
        <v>0.03</v>
      </c>
      <c r="W6" s="188">
        <f>(X6+(X6*Y6))+((X6+(X6*Y6))*Z6)</f>
        <v>9714.9599999999991</v>
      </c>
      <c r="X6" s="158">
        <f>'TTM Orignal - With Levers'!H6</f>
        <v>9432</v>
      </c>
      <c r="Y6" s="218">
        <v>0</v>
      </c>
      <c r="Z6" s="248">
        <v>0.03</v>
      </c>
      <c r="AA6" s="188">
        <f t="shared" ref="AA6:AA8" si="8">(AB6+(AB6*AC6))+((AB6+(AB6*AC6))*AD6)</f>
        <v>9443.0400000000009</v>
      </c>
      <c r="AB6" s="158">
        <f>'TTM Orignal - With Levers'!I6</f>
        <v>9168</v>
      </c>
      <c r="AC6" s="215">
        <v>0</v>
      </c>
      <c r="AD6" s="248">
        <v>0.03</v>
      </c>
      <c r="AE6" s="188">
        <f t="shared" si="0"/>
        <v>11169.9792</v>
      </c>
      <c r="AF6" s="158">
        <f>'TTM Orignal - With Levers'!J6</f>
        <v>10632</v>
      </c>
      <c r="AG6" s="248">
        <v>0.02</v>
      </c>
      <c r="AH6" s="248">
        <v>0.03</v>
      </c>
      <c r="AI6" s="188">
        <f t="shared" si="1"/>
        <v>11750.528400000001</v>
      </c>
      <c r="AJ6" s="158">
        <f>'TTM Orignal - With Levers'!K6</f>
        <v>11076</v>
      </c>
      <c r="AK6" s="248">
        <v>0.03</v>
      </c>
      <c r="AL6" s="248">
        <v>0.03</v>
      </c>
      <c r="AM6" s="188">
        <f t="shared" si="2"/>
        <v>17212.0416</v>
      </c>
      <c r="AN6" s="158">
        <f>'TTM Orignal - With Levers'!L6</f>
        <v>16224</v>
      </c>
      <c r="AO6" s="248">
        <v>0.03</v>
      </c>
      <c r="AP6" s="248">
        <v>0.03</v>
      </c>
      <c r="AQ6" s="188">
        <f t="shared" si="3"/>
        <v>16402.214400000001</v>
      </c>
      <c r="AR6" s="158">
        <f>'TTM Orignal - With Levers'!M6</f>
        <v>15312</v>
      </c>
      <c r="AS6" s="248">
        <v>0.04</v>
      </c>
      <c r="AT6" s="248">
        <v>0.03</v>
      </c>
      <c r="AU6" s="188">
        <f t="shared" si="4"/>
        <v>15119.240220000003</v>
      </c>
      <c r="AV6" s="158">
        <f>'TTM Orignal - With Levers'!N6</f>
        <v>13979.880000000003</v>
      </c>
      <c r="AW6" s="248">
        <v>0.05</v>
      </c>
      <c r="AX6" s="248">
        <v>0.03</v>
      </c>
      <c r="AY6" s="63"/>
      <c r="AZ6" s="294">
        <f>SUM(C6,G6,K6,O6,S6,W6,AA6,AE6,AI6,AM6,AQ6,AU6)</f>
        <v>150743.84382000001</v>
      </c>
      <c r="BA6" s="292">
        <f>'TTM Original - Good'!P6</f>
        <v>145199.88</v>
      </c>
      <c r="BB6" s="266"/>
      <c r="BC6" s="197"/>
      <c r="BD6" s="208">
        <f>(AZ6+(AZ6*BB6))</f>
        <v>150743.84382000001</v>
      </c>
      <c r="BE6" s="207">
        <f>(AZ6+(AZ6*BC6))</f>
        <v>150743.84382000001</v>
      </c>
      <c r="BF6" s="209">
        <f t="shared" ref="BF6:BF8" si="9">(BD6+(BD6*BC6))</f>
        <v>150743.84382000001</v>
      </c>
      <c r="BG6" s="170">
        <f t="shared" ref="BG6:BG8" si="10">BF6/$BF$9</f>
        <v>0.111669346864005</v>
      </c>
    </row>
    <row r="7" spans="1:68" x14ac:dyDescent="0.3">
      <c r="A7" s="175">
        <v>4300</v>
      </c>
      <c r="B7" s="125" t="s">
        <v>104</v>
      </c>
      <c r="C7" s="221">
        <f t="shared" ref="C7:C8" si="11">(D7+(D7*E7))</f>
        <v>11484</v>
      </c>
      <c r="D7" s="158">
        <f>'TTM Orignal - With Levers'!C7</f>
        <v>11484</v>
      </c>
      <c r="E7" s="215">
        <v>0</v>
      </c>
      <c r="F7" s="215">
        <v>0</v>
      </c>
      <c r="G7" s="221">
        <f t="shared" ref="G7:G8" si="12">(H7+(H7*I7))</f>
        <v>10278</v>
      </c>
      <c r="H7" s="158">
        <f>'TTM Orignal - With Levers'!D7</f>
        <v>10278</v>
      </c>
      <c r="I7" s="215">
        <v>0</v>
      </c>
      <c r="J7" s="215">
        <v>0</v>
      </c>
      <c r="K7" s="158">
        <f t="shared" si="5"/>
        <v>8874</v>
      </c>
      <c r="L7" s="158">
        <f>'TTM Orignal - With Levers'!E7</f>
        <v>8874</v>
      </c>
      <c r="M7" s="215">
        <v>0</v>
      </c>
      <c r="N7" s="215">
        <v>0</v>
      </c>
      <c r="O7" s="158">
        <f t="shared" si="6"/>
        <v>7785.0000000000009</v>
      </c>
      <c r="P7" s="158">
        <f>'TTM Orignal - With Levers'!F7</f>
        <v>7785.0000000000009</v>
      </c>
      <c r="Q7" s="215">
        <v>0</v>
      </c>
      <c r="R7" s="215">
        <v>0</v>
      </c>
      <c r="S7" s="158">
        <f t="shared" si="7"/>
        <v>6111</v>
      </c>
      <c r="T7" s="158">
        <f>'TTM Orignal - With Levers'!G7</f>
        <v>6111</v>
      </c>
      <c r="U7" s="215">
        <v>0</v>
      </c>
      <c r="V7" s="215">
        <v>0</v>
      </c>
      <c r="W7" s="158">
        <f>(X7+(X7*Y7))+((X7+(X7*Y7))*Z7)</f>
        <v>7074</v>
      </c>
      <c r="X7" s="158">
        <f>'TTM Orignal - With Levers'!H7</f>
        <v>7074</v>
      </c>
      <c r="Y7" s="218">
        <v>0</v>
      </c>
      <c r="Z7" s="215">
        <v>0</v>
      </c>
      <c r="AA7" s="158">
        <f t="shared" si="8"/>
        <v>6876</v>
      </c>
      <c r="AB7" s="158">
        <f>'TTM Orignal - With Levers'!I7</f>
        <v>6876</v>
      </c>
      <c r="AC7" s="215">
        <v>0</v>
      </c>
      <c r="AD7" s="215">
        <v>0</v>
      </c>
      <c r="AE7" s="158">
        <f t="shared" si="0"/>
        <v>7974</v>
      </c>
      <c r="AF7" s="158">
        <f>'TTM Orignal - With Levers'!J7</f>
        <v>7974</v>
      </c>
      <c r="AG7" s="215">
        <v>0</v>
      </c>
      <c r="AH7" s="215">
        <v>0</v>
      </c>
      <c r="AI7" s="158">
        <f t="shared" si="1"/>
        <v>8307</v>
      </c>
      <c r="AJ7" s="158">
        <f>'TTM Orignal - With Levers'!K7</f>
        <v>8307</v>
      </c>
      <c r="AK7" s="215">
        <v>0</v>
      </c>
      <c r="AL7" s="215">
        <v>0</v>
      </c>
      <c r="AM7" s="158">
        <f t="shared" si="2"/>
        <v>12168</v>
      </c>
      <c r="AN7" s="158">
        <f>'TTM Orignal - With Levers'!L7</f>
        <v>12168</v>
      </c>
      <c r="AO7" s="215">
        <v>0</v>
      </c>
      <c r="AP7" s="215">
        <v>0</v>
      </c>
      <c r="AQ7" s="158">
        <f t="shared" si="3"/>
        <v>11484</v>
      </c>
      <c r="AR7" s="158">
        <f>'TTM Orignal - With Levers'!M7</f>
        <v>11484</v>
      </c>
      <c r="AS7" s="215">
        <v>0</v>
      </c>
      <c r="AT7" s="215">
        <v>0</v>
      </c>
      <c r="AU7" s="158">
        <f t="shared" si="4"/>
        <v>10484.91</v>
      </c>
      <c r="AV7" s="158">
        <f>'TTM Orignal - With Levers'!N7</f>
        <v>10484.91</v>
      </c>
      <c r="AW7" s="215">
        <v>0</v>
      </c>
      <c r="AX7" s="215">
        <v>0</v>
      </c>
      <c r="AY7" s="63"/>
      <c r="AZ7" s="294">
        <f>SUM(C7,G7,K7,O7,S7,W7,AA7,AE7,AI7,AM7,AQ7,AU7)</f>
        <v>108899.91</v>
      </c>
      <c r="BA7" s="292">
        <f>'TTM Original - Good'!P7</f>
        <v>108899.91</v>
      </c>
      <c r="BB7" s="266"/>
      <c r="BC7" s="197"/>
      <c r="BD7" s="208">
        <f>(AZ7+(AZ7*BB7))</f>
        <v>108899.91</v>
      </c>
      <c r="BE7" s="207">
        <f>(AZ7+(AZ7*BC7))</f>
        <v>108899.91</v>
      </c>
      <c r="BF7" s="209">
        <f t="shared" si="9"/>
        <v>108899.91</v>
      </c>
      <c r="BG7" s="170">
        <f t="shared" si="10"/>
        <v>8.0671830537702452E-2</v>
      </c>
    </row>
    <row r="8" spans="1:68" x14ac:dyDescent="0.3">
      <c r="A8" s="175">
        <v>4400</v>
      </c>
      <c r="B8" s="125" t="s">
        <v>105</v>
      </c>
      <c r="C8" s="221">
        <f t="shared" si="11"/>
        <v>15202.27</v>
      </c>
      <c r="D8" s="158">
        <f>'TTM Orignal - With Levers'!C8</f>
        <v>15202.27</v>
      </c>
      <c r="E8" s="215">
        <v>0</v>
      </c>
      <c r="F8" s="215">
        <v>0</v>
      </c>
      <c r="G8" s="221">
        <f t="shared" si="12"/>
        <v>14680.33</v>
      </c>
      <c r="H8" s="158">
        <f>'TTM Orignal - With Levers'!D8</f>
        <v>14680.33</v>
      </c>
      <c r="I8" s="215">
        <v>0</v>
      </c>
      <c r="J8" s="215">
        <v>0</v>
      </c>
      <c r="K8" s="188">
        <f t="shared" si="5"/>
        <v>15229.9656</v>
      </c>
      <c r="L8" s="158">
        <f>'TTM Orignal - With Levers'!E8</f>
        <v>14101.82</v>
      </c>
      <c r="M8" s="248">
        <v>0.08</v>
      </c>
      <c r="N8" s="215">
        <v>0</v>
      </c>
      <c r="O8" s="188">
        <f t="shared" si="6"/>
        <v>14856.654999999999</v>
      </c>
      <c r="P8" s="158">
        <f>'TTM Orignal - With Levers'!F8</f>
        <v>13506.05</v>
      </c>
      <c r="Q8" s="248">
        <v>0.1</v>
      </c>
      <c r="R8" s="215">
        <v>0</v>
      </c>
      <c r="S8" s="188">
        <f t="shared" si="7"/>
        <v>13806.287</v>
      </c>
      <c r="T8" s="158">
        <f>'TTM Orignal - With Levers'!G8</f>
        <v>12551.17</v>
      </c>
      <c r="U8" s="248">
        <v>0.1</v>
      </c>
      <c r="V8" s="215">
        <v>0</v>
      </c>
      <c r="W8" s="188">
        <f>(X8+(X8*Y8))+((X8+(X8*Y8))*Z8)</f>
        <v>14547.5157</v>
      </c>
      <c r="X8" s="158">
        <f>'TTM Orignal - With Levers'!H8</f>
        <v>13105.87</v>
      </c>
      <c r="Y8" s="248">
        <v>0.11</v>
      </c>
      <c r="Z8" s="215">
        <v>0</v>
      </c>
      <c r="AA8" s="188">
        <f t="shared" si="8"/>
        <v>14474.0304</v>
      </c>
      <c r="AB8" s="158">
        <f>'TTM Orignal - With Levers'!I8</f>
        <v>13401.88</v>
      </c>
      <c r="AC8" s="248">
        <v>0.08</v>
      </c>
      <c r="AD8" s="215">
        <v>0</v>
      </c>
      <c r="AE8" s="188">
        <f t="shared" si="0"/>
        <v>15930.361199999999</v>
      </c>
      <c r="AF8" s="158">
        <f>'TTM Orignal - With Levers'!J8</f>
        <v>13733.07</v>
      </c>
      <c r="AG8" s="248">
        <v>0.16</v>
      </c>
      <c r="AH8" s="215">
        <v>0</v>
      </c>
      <c r="AI8" s="188">
        <f t="shared" si="1"/>
        <v>16755.303800000002</v>
      </c>
      <c r="AJ8" s="158">
        <f>'TTM Orignal - With Levers'!K8</f>
        <v>14199.41</v>
      </c>
      <c r="AK8" s="248">
        <v>0.18</v>
      </c>
      <c r="AL8" s="215">
        <v>0</v>
      </c>
      <c r="AM8" s="188">
        <f t="shared" si="2"/>
        <v>18335.050599999999</v>
      </c>
      <c r="AN8" s="158">
        <f>'TTM Orignal - With Levers'!L8</f>
        <v>15028.73</v>
      </c>
      <c r="AO8" s="248">
        <v>0.22</v>
      </c>
      <c r="AP8" s="215">
        <v>0</v>
      </c>
      <c r="AQ8" s="188">
        <f t="shared" si="3"/>
        <v>18888.974999999999</v>
      </c>
      <c r="AR8" s="158">
        <f>'TTM Orignal - With Levers'!M8</f>
        <v>14991.25</v>
      </c>
      <c r="AS8" s="248">
        <v>0.26</v>
      </c>
      <c r="AT8" s="215">
        <v>0</v>
      </c>
      <c r="AU8" s="188">
        <f t="shared" si="4"/>
        <v>19368.895</v>
      </c>
      <c r="AV8" s="158">
        <f>'TTM Orignal - With Levers'!N8</f>
        <v>14899.15</v>
      </c>
      <c r="AW8" s="248">
        <v>0.3</v>
      </c>
      <c r="AX8" s="215">
        <v>0</v>
      </c>
      <c r="AY8" s="63"/>
      <c r="AZ8" s="294">
        <f>SUM(C8,G8,K8,O8,S8,W8,AA8,AE8,AI8,AM8,AQ8,AU8)</f>
        <v>192075.63929999998</v>
      </c>
      <c r="BA8" s="292">
        <f>'TTM Original - Good'!P8</f>
        <v>169401</v>
      </c>
      <c r="BB8" s="266"/>
      <c r="BC8" s="197"/>
      <c r="BD8" s="208">
        <f>(AZ8+(AZ8*BB8))</f>
        <v>192075.63929999998</v>
      </c>
      <c r="BE8" s="207">
        <f>(AZ8+(AZ8*BC8))</f>
        <v>192075.63929999998</v>
      </c>
      <c r="BF8" s="209">
        <f t="shared" si="9"/>
        <v>192075.63929999998</v>
      </c>
      <c r="BG8" s="170">
        <f t="shared" si="10"/>
        <v>0.14228747685861687</v>
      </c>
    </row>
    <row r="9" spans="1:68" x14ac:dyDescent="0.3">
      <c r="A9" s="176"/>
      <c r="B9" s="65" t="s">
        <v>61</v>
      </c>
      <c r="C9" s="157">
        <f t="shared" ref="C9:AY9" si="13">SUM(C5:C8)</f>
        <v>124938.27</v>
      </c>
      <c r="D9" s="157"/>
      <c r="E9" s="157"/>
      <c r="F9" s="157"/>
      <c r="G9" s="157">
        <f t="shared" si="13"/>
        <v>112892.33</v>
      </c>
      <c r="H9" s="157"/>
      <c r="I9" s="157"/>
      <c r="J9" s="157"/>
      <c r="K9" s="157">
        <f t="shared" si="13"/>
        <v>100025.9656</v>
      </c>
      <c r="L9" s="157"/>
      <c r="M9" s="157"/>
      <c r="N9" s="157"/>
      <c r="O9" s="157">
        <f t="shared" si="13"/>
        <v>92931.555000000008</v>
      </c>
      <c r="P9" s="157"/>
      <c r="Q9" s="157"/>
      <c r="R9" s="157"/>
      <c r="S9" s="157">
        <f t="shared" si="13"/>
        <v>75092.827000000005</v>
      </c>
      <c r="T9" s="157"/>
      <c r="U9" s="157"/>
      <c r="V9" s="157"/>
      <c r="W9" s="157">
        <f t="shared" si="13"/>
        <v>85491.875700000004</v>
      </c>
      <c r="X9" s="157"/>
      <c r="Y9" s="157"/>
      <c r="Z9" s="157"/>
      <c r="AA9" s="157">
        <f t="shared" si="13"/>
        <v>83432.670400000003</v>
      </c>
      <c r="AB9" s="157"/>
      <c r="AC9" s="157"/>
      <c r="AD9" s="157"/>
      <c r="AE9" s="157">
        <f t="shared" si="13"/>
        <v>102834.7344</v>
      </c>
      <c r="AF9" s="157"/>
      <c r="AG9" s="157"/>
      <c r="AH9" s="157"/>
      <c r="AI9" s="157">
        <f t="shared" si="13"/>
        <v>116942.15419999999</v>
      </c>
      <c r="AJ9" s="157"/>
      <c r="AK9" s="157"/>
      <c r="AL9" s="157"/>
      <c r="AM9" s="157">
        <f t="shared" si="13"/>
        <v>163224.56419999999</v>
      </c>
      <c r="AN9" s="157"/>
      <c r="AO9" s="157"/>
      <c r="AP9" s="157"/>
      <c r="AQ9" s="157">
        <f t="shared" si="13"/>
        <v>149637.3774</v>
      </c>
      <c r="AR9" s="157"/>
      <c r="AS9" s="157"/>
      <c r="AT9" s="157"/>
      <c r="AU9" s="157">
        <f t="shared" si="13"/>
        <v>142468.14584500002</v>
      </c>
      <c r="AV9" s="157"/>
      <c r="AW9" s="157"/>
      <c r="AX9" s="157"/>
      <c r="AY9" s="258">
        <f t="shared" si="13"/>
        <v>0</v>
      </c>
      <c r="AZ9" s="258">
        <f>SUM(AZ5:AZ8)</f>
        <v>1349912.4697449997</v>
      </c>
      <c r="BA9" s="293">
        <f>SUM(BA5:BA8)</f>
        <v>1210000.1400000001</v>
      </c>
      <c r="BD9" s="69">
        <f>SUM(BD5:BD8)</f>
        <v>1349912.4697449997</v>
      </c>
      <c r="BE9" s="69">
        <f t="shared" ref="BE9:BF9" si="14">SUM(BE5:BE8)</f>
        <v>1349912.4697449997</v>
      </c>
      <c r="BF9" s="69">
        <f t="shared" si="14"/>
        <v>1349912.4697449997</v>
      </c>
      <c r="BG9" s="171">
        <f>SUM(BG5:BG8)</f>
        <v>1</v>
      </c>
    </row>
    <row r="10" spans="1:68" ht="15" hidden="1" customHeight="1" x14ac:dyDescent="0.3">
      <c r="A10" s="50"/>
      <c r="B10" s="70" t="s">
        <v>62</v>
      </c>
      <c r="C10" s="71" t="e">
        <f>SUM(C$71+C$76)/#REF!</f>
        <v>#REF!</v>
      </c>
      <c r="D10" s="71"/>
      <c r="E10" s="71"/>
      <c r="F10" s="71"/>
      <c r="G10" s="15" t="e">
        <f>SUM(G$71+G$76)/#REF!</f>
        <v>#REF!</v>
      </c>
      <c r="H10" s="71"/>
      <c r="I10" s="71"/>
      <c r="J10" s="71"/>
      <c r="K10" s="15" t="e">
        <f>SUM(K$71+K$76)/#REF!</f>
        <v>#REF!</v>
      </c>
      <c r="L10" s="15"/>
      <c r="M10" s="71"/>
      <c r="N10" s="71"/>
      <c r="O10" s="15" t="e">
        <f>SUM(O$71+O$76)/#REF!</f>
        <v>#REF!</v>
      </c>
      <c r="P10" s="15"/>
      <c r="Q10" s="71"/>
      <c r="R10" s="71"/>
      <c r="S10" s="15" t="e">
        <f>SUM(S$71+S$76)/#REF!</f>
        <v>#REF!</v>
      </c>
      <c r="T10" s="15"/>
      <c r="U10" s="71"/>
      <c r="V10" s="71"/>
      <c r="W10" s="15" t="e">
        <f>SUM(W$71+W$76)/#REF!</f>
        <v>#REF!</v>
      </c>
      <c r="X10" s="15"/>
      <c r="Y10" s="71"/>
      <c r="Z10" s="71"/>
      <c r="AA10" s="15" t="e">
        <f>SUM(AA$71+AA$76)/#REF!</f>
        <v>#REF!</v>
      </c>
      <c r="AB10" s="15"/>
      <c r="AC10" s="71"/>
      <c r="AD10" s="71"/>
      <c r="AE10" s="15" t="e">
        <f>SUM(AE$71+AE$76)/#REF!</f>
        <v>#REF!</v>
      </c>
      <c r="AF10" s="15"/>
      <c r="AG10" s="71"/>
      <c r="AH10" s="71"/>
      <c r="AI10" s="15" t="e">
        <f>SUM(AI$71+AI$76)/#REF!</f>
        <v>#REF!</v>
      </c>
      <c r="AJ10" s="15"/>
      <c r="AK10" s="71"/>
      <c r="AL10" s="71"/>
      <c r="AM10" s="15" t="e">
        <f>SUM(AM$71+AM$76)/#REF!</f>
        <v>#REF!</v>
      </c>
      <c r="AN10" s="15"/>
      <c r="AO10" s="71"/>
      <c r="AP10" s="71"/>
      <c r="AQ10" s="15" t="e">
        <f>SUM(AQ$71+AQ$76)/#REF!</f>
        <v>#REF!</v>
      </c>
      <c r="AR10" s="15"/>
      <c r="AS10" s="71"/>
      <c r="AT10" s="71"/>
      <c r="AU10" s="15" t="e">
        <f>SUM(AU$71+AU$76)/#REF!</f>
        <v>#REF!</v>
      </c>
      <c r="AV10" s="15"/>
      <c r="AW10" s="71"/>
      <c r="AX10" s="71"/>
      <c r="AY10" s="16" t="e">
        <f>SUM(AY$71+AY$76)/#REF!</f>
        <v>#REF!</v>
      </c>
      <c r="AZ10" s="268" t="e">
        <f>SUM(AZ$71+AZ$76)/#REF!</f>
        <v>#REF!</v>
      </c>
      <c r="BA10" s="137" t="e">
        <v>#REF!</v>
      </c>
      <c r="BB10" s="150"/>
    </row>
    <row r="11" spans="1:68" x14ac:dyDescent="0.3">
      <c r="A11" s="177"/>
      <c r="B11" s="73"/>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9"/>
      <c r="BA11" s="19"/>
      <c r="BB11" s="151"/>
    </row>
    <row r="12" spans="1:68" x14ac:dyDescent="0.3">
      <c r="A12" s="176"/>
      <c r="B12" s="101" t="s">
        <v>106</v>
      </c>
      <c r="C12" s="9"/>
      <c r="D12" s="9"/>
      <c r="E12" s="9"/>
      <c r="F12" s="9"/>
      <c r="G12" s="5"/>
      <c r="H12" s="9"/>
      <c r="I12" s="9"/>
      <c r="J12" s="9"/>
      <c r="K12" s="5"/>
      <c r="L12" s="5"/>
      <c r="M12" s="9"/>
      <c r="N12" s="9"/>
      <c r="O12" s="5"/>
      <c r="P12" s="5"/>
      <c r="Q12" s="9"/>
      <c r="R12" s="9"/>
      <c r="S12" s="5"/>
      <c r="T12" s="5"/>
      <c r="U12" s="9"/>
      <c r="V12" s="9"/>
      <c r="W12" s="6"/>
      <c r="X12" s="6"/>
      <c r="Y12" s="9"/>
      <c r="Z12" s="9"/>
      <c r="AA12" s="6"/>
      <c r="AB12" s="6"/>
      <c r="AC12" s="9"/>
      <c r="AD12" s="9"/>
      <c r="AE12" s="6"/>
      <c r="AF12" s="6"/>
      <c r="AG12" s="9"/>
      <c r="AH12" s="9"/>
      <c r="AI12" s="6"/>
      <c r="AJ12" s="6"/>
      <c r="AK12" s="9"/>
      <c r="AL12" s="9"/>
      <c r="AM12" s="6"/>
      <c r="AN12" s="6"/>
      <c r="AO12" s="9"/>
      <c r="AP12" s="9"/>
      <c r="AQ12" s="6"/>
      <c r="AR12" s="6"/>
      <c r="AS12" s="9"/>
      <c r="AT12" s="9"/>
      <c r="AU12" s="6"/>
      <c r="AV12" s="6"/>
      <c r="AW12" s="9"/>
      <c r="AX12" s="9"/>
      <c r="AY12" s="7"/>
      <c r="AZ12" s="8"/>
      <c r="BA12" s="8"/>
      <c r="BB12" s="195"/>
    </row>
    <row r="13" spans="1:68" x14ac:dyDescent="0.3">
      <c r="A13" s="176">
        <v>5110</v>
      </c>
      <c r="B13" s="145" t="s">
        <v>107</v>
      </c>
      <c r="C13" s="221">
        <f t="shared" ref="C13:C17" si="15">D13+(D13*E13)</f>
        <v>42318.944065243028</v>
      </c>
      <c r="D13" s="158">
        <f>'TTM Orignal - With Levers'!C13</f>
        <v>42318.944065243028</v>
      </c>
      <c r="E13" s="218">
        <v>0</v>
      </c>
      <c r="F13" s="186"/>
      <c r="G13" s="221">
        <f t="shared" ref="G13:G17" si="16">H13+(H13*I13)</f>
        <v>37874.791632059198</v>
      </c>
      <c r="H13" s="158">
        <f>'TTM Orignal - With Levers'!D13</f>
        <v>37874.791632059198</v>
      </c>
      <c r="I13" s="218">
        <v>0</v>
      </c>
      <c r="J13" s="186"/>
      <c r="K13" s="221">
        <f t="shared" ref="K13:K17" si="17">L13+(L13*M13)</f>
        <v>32701.002232233252</v>
      </c>
      <c r="L13" s="158">
        <f>'TTM Orignal - With Levers'!E13</f>
        <v>32701.002232233252</v>
      </c>
      <c r="M13" s="218">
        <v>0</v>
      </c>
      <c r="N13" s="186"/>
      <c r="O13" s="221">
        <f t="shared" ref="O13:O17" si="18">P13+(P13*Q13)</f>
        <v>28687.998915701588</v>
      </c>
      <c r="P13" s="158">
        <f>'TTM Orignal - With Levers'!F13</f>
        <v>28687.998915701588</v>
      </c>
      <c r="Q13" s="218">
        <v>0</v>
      </c>
      <c r="R13" s="186"/>
      <c r="S13" s="221">
        <f t="shared" ref="S13:S17" si="19">T13+(T13*U13)</f>
        <v>22519.250015909103</v>
      </c>
      <c r="T13" s="158">
        <f>'TTM Orignal - With Levers'!G13</f>
        <v>22519.250015909103</v>
      </c>
      <c r="U13" s="218">
        <v>0</v>
      </c>
      <c r="V13" s="186"/>
      <c r="W13" s="221">
        <f t="shared" ref="W13:W17" si="20">X13+(X13*Y13)</f>
        <v>26067.938899123055</v>
      </c>
      <c r="X13" s="158">
        <f>'TTM Orignal - With Levers'!H13</f>
        <v>26067.938899123055</v>
      </c>
      <c r="Y13" s="218">
        <v>0</v>
      </c>
      <c r="Z13" s="186"/>
      <c r="AA13" s="221">
        <f t="shared" ref="AA13:AA17" si="21">AB13+(AB13*AC13)</f>
        <v>25338.301932480936</v>
      </c>
      <c r="AB13" s="158">
        <f>'TTM Orignal - With Levers'!I13</f>
        <v>25338.301932480936</v>
      </c>
      <c r="AC13" s="218">
        <v>0</v>
      </c>
      <c r="AD13" s="186"/>
      <c r="AE13" s="256">
        <f t="shared" ref="AE13:AE17" si="22">AF13+(AF13*AG13)</f>
        <v>32616.762327902754</v>
      </c>
      <c r="AF13" s="188">
        <f>'TTM Orignal - With Levers'!J13</f>
        <v>29384.470565678155</v>
      </c>
      <c r="AG13" s="248">
        <v>0.11</v>
      </c>
      <c r="AH13" s="183"/>
      <c r="AI13" s="256">
        <f t="shared" ref="AI13:AI17" si="23">AJ13+(AJ13*AK13)</f>
        <v>38570.599975702462</v>
      </c>
      <c r="AJ13" s="188">
        <f>'TTM Orignal - With Levers'!K13</f>
        <v>30611.587282303542</v>
      </c>
      <c r="AK13" s="248">
        <v>0.26</v>
      </c>
      <c r="AL13" s="183"/>
      <c r="AM13" s="256">
        <f t="shared" ref="AM13:AM17" si="24">AN13+(AN13*AO13)</f>
        <v>55600.990083462886</v>
      </c>
      <c r="AN13" s="188">
        <f>'TTM Orignal - With Levers'!L13</f>
        <v>44839.508131824907</v>
      </c>
      <c r="AO13" s="248">
        <v>0.24</v>
      </c>
      <c r="AP13" s="183"/>
      <c r="AQ13" s="256">
        <f t="shared" ref="AQ13:AQ17" si="25">AR13+(AR13*AS13)</f>
        <v>49513.164556334341</v>
      </c>
      <c r="AR13" s="188">
        <f>'TTM Orignal - With Levers'!M13</f>
        <v>42318.944065243028</v>
      </c>
      <c r="AS13" s="248">
        <v>0.17</v>
      </c>
      <c r="AT13" s="183"/>
      <c r="AU13" s="256">
        <f t="shared" ref="AU13:AU17" si="26">AV13+(AV13*AW13)</f>
        <v>48296.577827750269</v>
      </c>
      <c r="AV13" s="158">
        <f>'TTM Orignal - With Levers'!N13</f>
        <v>38637.262262200216</v>
      </c>
      <c r="AW13" s="248">
        <v>0.25</v>
      </c>
      <c r="AX13" s="186"/>
      <c r="AY13" s="76">
        <v>474800</v>
      </c>
      <c r="AZ13" s="294">
        <f>SUM(C13,G13,K13,O13,S13,W13,AA13,AE13,AI13,AM13,AQ13,AU13)</f>
        <v>440106.32246390288</v>
      </c>
      <c r="BA13" s="291">
        <f>'TTM Original - Good'!P13</f>
        <v>401300</v>
      </c>
      <c r="BB13" s="266"/>
      <c r="BD13" s="208">
        <f>(AZ13+(AZ13*BB13))</f>
        <v>440106.32246390288</v>
      </c>
      <c r="BE13" s="207">
        <f>AZ13</f>
        <v>440106.32246390288</v>
      </c>
      <c r="BF13" s="209">
        <f>BD13</f>
        <v>440106.32246390288</v>
      </c>
    </row>
    <row r="14" spans="1:68" x14ac:dyDescent="0.3">
      <c r="A14" s="176">
        <v>5120</v>
      </c>
      <c r="B14" s="145" t="s">
        <v>108</v>
      </c>
      <c r="C14" s="221">
        <f t="shared" si="15"/>
        <v>4921.567703774962</v>
      </c>
      <c r="D14" s="158">
        <f>'TTM Orignal - With Levers'!C14</f>
        <v>4921.567703774962</v>
      </c>
      <c r="E14" s="218">
        <v>0</v>
      </c>
      <c r="F14" s="186"/>
      <c r="G14" s="221">
        <f t="shared" si="16"/>
        <v>4404.7259543189703</v>
      </c>
      <c r="H14" s="158">
        <f>'TTM Orignal - With Levers'!D14</f>
        <v>4404.7259543189703</v>
      </c>
      <c r="I14" s="218">
        <v>0</v>
      </c>
      <c r="J14" s="186"/>
      <c r="K14" s="221">
        <f t="shared" si="17"/>
        <v>3803.0295892806525</v>
      </c>
      <c r="L14" s="158">
        <f>'TTM Orignal - With Levers'!E14</f>
        <v>3803.0295892806525</v>
      </c>
      <c r="M14" s="218">
        <v>0</v>
      </c>
      <c r="N14" s="186"/>
      <c r="O14" s="221">
        <f t="shared" si="18"/>
        <v>3336.329203577855</v>
      </c>
      <c r="P14" s="158">
        <f>'TTM Orignal - With Levers'!F14</f>
        <v>3336.329203577855</v>
      </c>
      <c r="Q14" s="218">
        <v>0</v>
      </c>
      <c r="R14" s="186"/>
      <c r="S14" s="221">
        <f t="shared" si="19"/>
        <v>2618.9219991090904</v>
      </c>
      <c r="T14" s="158">
        <f>'TTM Orignal - With Levers'!G14</f>
        <v>2618.9219991090904</v>
      </c>
      <c r="U14" s="218">
        <v>0</v>
      </c>
      <c r="V14" s="186"/>
      <c r="W14" s="221">
        <f t="shared" si="20"/>
        <v>3031.6239930776801</v>
      </c>
      <c r="X14" s="158">
        <f>'TTM Orignal - With Levers'!H14</f>
        <v>3031.6239930776801</v>
      </c>
      <c r="Y14" s="218">
        <v>0</v>
      </c>
      <c r="Z14" s="186"/>
      <c r="AA14" s="221">
        <f t="shared" si="21"/>
        <v>2946.7693774953536</v>
      </c>
      <c r="AB14" s="158">
        <f>'TTM Orignal - With Levers'!I14</f>
        <v>2946.7693774953536</v>
      </c>
      <c r="AC14" s="218">
        <v>0</v>
      </c>
      <c r="AD14" s="186"/>
      <c r="AE14" s="256">
        <f t="shared" si="22"/>
        <v>3793.2327382088747</v>
      </c>
      <c r="AF14" s="188">
        <f>'TTM Orignal - With Levers'!J14</f>
        <v>3417.3267911791663</v>
      </c>
      <c r="AG14" s="248">
        <v>0.11</v>
      </c>
      <c r="AH14" s="183"/>
      <c r="AI14" s="256">
        <f t="shared" si="23"/>
        <v>4485.6464013606628</v>
      </c>
      <c r="AJ14" s="188">
        <f>'TTM Orignal - With Levers'!K14</f>
        <v>3560.0368264767162</v>
      </c>
      <c r="AK14" s="248">
        <v>0.26</v>
      </c>
      <c r="AL14" s="183"/>
      <c r="AM14" s="256">
        <f t="shared" si="24"/>
        <v>6466.2302696117931</v>
      </c>
      <c r="AN14" s="188">
        <f>'TTM Orignal - With Levers'!L14</f>
        <v>5214.701830332091</v>
      </c>
      <c r="AO14" s="248">
        <v>0.24</v>
      </c>
      <c r="AP14" s="183"/>
      <c r="AQ14" s="256">
        <f t="shared" si="25"/>
        <v>5758.2342134167056</v>
      </c>
      <c r="AR14" s="188">
        <f>'TTM Orignal - With Levers'!M14</f>
        <v>4921.567703774962</v>
      </c>
      <c r="AS14" s="248">
        <v>0.17</v>
      </c>
      <c r="AT14" s="183"/>
      <c r="AU14" s="256">
        <f t="shared" si="26"/>
        <v>5616.7487845031283</v>
      </c>
      <c r="AV14" s="158">
        <f>'TTM Orignal - With Levers'!N14</f>
        <v>4493.3990276025024</v>
      </c>
      <c r="AW14" s="248">
        <v>0.25</v>
      </c>
      <c r="AX14" s="186"/>
      <c r="AY14" s="76">
        <v>96670</v>
      </c>
      <c r="AZ14" s="294">
        <f>SUM(C14,G14,K14,O14,S14,W14,AA14,AE14,AI14,AM14,AQ14,AU14)</f>
        <v>51183.060227735725</v>
      </c>
      <c r="BA14" s="292">
        <f>'TTM Original - Good'!P14</f>
        <v>46670</v>
      </c>
      <c r="BB14" s="266"/>
      <c r="BD14" s="208">
        <f>(AZ14+(AZ14*BB14))</f>
        <v>51183.060227735725</v>
      </c>
      <c r="BE14" s="207">
        <f t="shared" ref="BE14:BE17" si="27">AZ14</f>
        <v>51183.060227735725</v>
      </c>
      <c r="BF14" s="209">
        <f t="shared" ref="BF14:BF17" si="28">BD14</f>
        <v>51183.060227735725</v>
      </c>
    </row>
    <row r="15" spans="1:68" x14ac:dyDescent="0.3">
      <c r="A15" s="176">
        <v>5130</v>
      </c>
      <c r="B15" s="145" t="s">
        <v>109</v>
      </c>
      <c r="C15" s="221">
        <f t="shared" si="15"/>
        <v>1845.4560706248519</v>
      </c>
      <c r="D15" s="158">
        <f>'TTM Orignal - With Levers'!C15</f>
        <v>1845.4560706248519</v>
      </c>
      <c r="E15" s="218">
        <v>0</v>
      </c>
      <c r="F15" s="186"/>
      <c r="G15" s="221">
        <f t="shared" si="16"/>
        <v>1651.6542575655021</v>
      </c>
      <c r="H15" s="158">
        <f>'TTM Orignal - With Levers'!D15</f>
        <v>1651.6542575655021</v>
      </c>
      <c r="I15" s="218">
        <v>0</v>
      </c>
      <c r="J15" s="186"/>
      <c r="K15" s="221">
        <f t="shared" si="17"/>
        <v>1426.034236391931</v>
      </c>
      <c r="L15" s="158">
        <f>'TTM Orignal - With Levers'!E15</f>
        <v>1426.034236391931</v>
      </c>
      <c r="M15" s="218">
        <v>0</v>
      </c>
      <c r="N15" s="186"/>
      <c r="O15" s="221">
        <f t="shared" si="18"/>
        <v>1251.0340917637125</v>
      </c>
      <c r="P15" s="158">
        <f>'TTM Orignal - With Levers'!F15</f>
        <v>1251.0340917637125</v>
      </c>
      <c r="Q15" s="218">
        <v>0</v>
      </c>
      <c r="R15" s="186"/>
      <c r="S15" s="221">
        <f t="shared" si="19"/>
        <v>982.02560497983882</v>
      </c>
      <c r="T15" s="158">
        <f>'TTM Orignal - With Levers'!G15</f>
        <v>982.02560497983882</v>
      </c>
      <c r="U15" s="218">
        <v>0</v>
      </c>
      <c r="V15" s="186"/>
      <c r="W15" s="221">
        <f t="shared" si="20"/>
        <v>1136.7777989899164</v>
      </c>
      <c r="X15" s="158">
        <f>'TTM Orignal - With Levers'!H15</f>
        <v>1136.7777989899164</v>
      </c>
      <c r="Y15" s="218">
        <v>0</v>
      </c>
      <c r="Z15" s="186"/>
      <c r="AA15" s="221">
        <f t="shared" si="21"/>
        <v>1104.9595908756951</v>
      </c>
      <c r="AB15" s="158">
        <f>'TTM Orignal - With Levers'!I15</f>
        <v>1104.9595908756951</v>
      </c>
      <c r="AC15" s="218">
        <v>0</v>
      </c>
      <c r="AD15" s="186"/>
      <c r="AE15" s="256">
        <f t="shared" si="22"/>
        <v>1422.3606796369254</v>
      </c>
      <c r="AF15" s="188">
        <f>'TTM Orignal - With Levers'!J15</f>
        <v>1281.4060176909238</v>
      </c>
      <c r="AG15" s="248">
        <v>0.11</v>
      </c>
      <c r="AH15" s="183"/>
      <c r="AI15" s="256">
        <f t="shared" si="23"/>
        <v>1681.9972578489737</v>
      </c>
      <c r="AJ15" s="188">
        <f>'TTM Orignal - With Levers'!K15</f>
        <v>1334.9184586102965</v>
      </c>
      <c r="AK15" s="248">
        <v>0.26</v>
      </c>
      <c r="AL15" s="183"/>
      <c r="AM15" s="256">
        <f t="shared" si="24"/>
        <v>2424.6631608786452</v>
      </c>
      <c r="AN15" s="188">
        <f>'TTM Orignal - With Levers'!L15</f>
        <v>1955.3735168376172</v>
      </c>
      <c r="AO15" s="248">
        <v>0.24</v>
      </c>
      <c r="AP15" s="183"/>
      <c r="AQ15" s="256">
        <f t="shared" si="25"/>
        <v>2159.1836026310766</v>
      </c>
      <c r="AR15" s="188">
        <f>'TTM Orignal - With Levers'!M15</f>
        <v>1845.4560706248519</v>
      </c>
      <c r="AS15" s="248">
        <v>0.17</v>
      </c>
      <c r="AT15" s="183"/>
      <c r="AU15" s="256">
        <f t="shared" si="26"/>
        <v>2106.1303563060796</v>
      </c>
      <c r="AV15" s="158">
        <f>'TTM Orignal - With Levers'!N15</f>
        <v>1684.9042850448639</v>
      </c>
      <c r="AW15" s="248">
        <v>0.25</v>
      </c>
      <c r="AX15" s="186"/>
      <c r="AY15" s="76">
        <v>55500</v>
      </c>
      <c r="AZ15" s="294">
        <f>SUM(C15,G15,K15,O15,S15,W15,AA15,AE15,AI15,AM15,AQ15,AU15)</f>
        <v>19192.276708493147</v>
      </c>
      <c r="BA15" s="292">
        <f>'TTM Original - Good'!P15</f>
        <v>17500</v>
      </c>
      <c r="BB15" s="266"/>
      <c r="BD15" s="208">
        <f>(AZ15+(AZ15*BB15))</f>
        <v>19192.276708493147</v>
      </c>
      <c r="BE15" s="207">
        <f t="shared" si="27"/>
        <v>19192.276708493147</v>
      </c>
      <c r="BF15" s="209">
        <f t="shared" si="28"/>
        <v>19192.276708493147</v>
      </c>
    </row>
    <row r="16" spans="1:68" x14ac:dyDescent="0.3">
      <c r="A16" s="176">
        <v>5140</v>
      </c>
      <c r="B16" s="145" t="s">
        <v>110</v>
      </c>
      <c r="C16" s="221">
        <f t="shared" si="15"/>
        <v>7292.4555912856122</v>
      </c>
      <c r="D16" s="158">
        <f>'TTM Orignal - With Levers'!C16</f>
        <v>7292.4555912856122</v>
      </c>
      <c r="E16" s="218">
        <v>0</v>
      </c>
      <c r="F16" s="186"/>
      <c r="G16" s="221">
        <f t="shared" si="16"/>
        <v>7095.5629194734875</v>
      </c>
      <c r="H16" s="158">
        <f>'TTM Orignal - With Levers'!D16</f>
        <v>7095.5629194734875</v>
      </c>
      <c r="I16" s="218">
        <v>0</v>
      </c>
      <c r="J16" s="186"/>
      <c r="K16" s="221">
        <f t="shared" si="17"/>
        <v>5667.8520478116097</v>
      </c>
      <c r="L16" s="158">
        <f>'TTM Orignal - With Levers'!E16</f>
        <v>5667.8520478116097</v>
      </c>
      <c r="M16" s="218">
        <v>0</v>
      </c>
      <c r="N16" s="186"/>
      <c r="O16" s="221">
        <f t="shared" si="18"/>
        <v>5346.8519486379737</v>
      </c>
      <c r="P16" s="158">
        <f>'TTM Orignal - With Levers'!F16</f>
        <v>5346.8519486379737</v>
      </c>
      <c r="Q16" s="218">
        <v>0</v>
      </c>
      <c r="R16" s="186"/>
      <c r="S16" s="221">
        <f t="shared" si="19"/>
        <v>4040.3339176313366</v>
      </c>
      <c r="T16" s="158">
        <f>'TTM Orignal - With Levers'!G16</f>
        <v>4040.3339176313366</v>
      </c>
      <c r="U16" s="218">
        <v>0</v>
      </c>
      <c r="V16" s="186"/>
      <c r="W16" s="221">
        <f t="shared" si="20"/>
        <v>4677.0286587013707</v>
      </c>
      <c r="X16" s="158">
        <f>'TTM Orignal - With Levers'!H16</f>
        <v>4677.0286587013707</v>
      </c>
      <c r="Y16" s="218">
        <v>0</v>
      </c>
      <c r="Z16" s="186"/>
      <c r="AA16" s="221">
        <f t="shared" si="21"/>
        <v>4546.119459602859</v>
      </c>
      <c r="AB16" s="158">
        <f>'TTM Orignal - With Levers'!I16</f>
        <v>4546.119459602859</v>
      </c>
      <c r="AC16" s="218">
        <v>0</v>
      </c>
      <c r="AD16" s="186"/>
      <c r="AE16" s="221">
        <f t="shared" si="22"/>
        <v>5771.6784121309192</v>
      </c>
      <c r="AF16" s="158">
        <f>'TTM Orignal - With Levers'!J16</f>
        <v>5771.6784121309192</v>
      </c>
      <c r="AG16" s="218">
        <v>0</v>
      </c>
      <c r="AH16" s="186"/>
      <c r="AI16" s="221">
        <f t="shared" si="23"/>
        <v>4992.3726573327749</v>
      </c>
      <c r="AJ16" s="158">
        <f>'TTM Orignal - With Levers'!K16</f>
        <v>4992.3726573327749</v>
      </c>
      <c r="AK16" s="218">
        <v>0</v>
      </c>
      <c r="AL16" s="186"/>
      <c r="AM16" s="221">
        <f t="shared" si="24"/>
        <v>7044.8275544029375</v>
      </c>
      <c r="AN16" s="158">
        <f>'TTM Orignal - With Levers'!L16</f>
        <v>7044.8275544029375</v>
      </c>
      <c r="AO16" s="218">
        <v>0</v>
      </c>
      <c r="AP16" s="186"/>
      <c r="AQ16" s="221">
        <f t="shared" si="25"/>
        <v>8592.4555912856122</v>
      </c>
      <c r="AR16" s="158">
        <f>'TTM Orignal - With Levers'!M16</f>
        <v>8592.4555912856122</v>
      </c>
      <c r="AS16" s="218">
        <v>0</v>
      </c>
      <c r="AT16" s="186"/>
      <c r="AU16" s="221">
        <f t="shared" si="26"/>
        <v>6932.177629898868</v>
      </c>
      <c r="AV16" s="158">
        <f>'TTM Orignal - With Levers'!N16</f>
        <v>6932.177629898868</v>
      </c>
      <c r="AW16" s="218">
        <v>0</v>
      </c>
      <c r="AX16" s="186"/>
      <c r="AY16" s="76">
        <v>60000</v>
      </c>
      <c r="AZ16" s="294">
        <f>SUM(C16,G16,K16,O16,S16,W16,AA16,AE16,AI16,AM16,AQ16,AU16)</f>
        <v>71999.71638819536</v>
      </c>
      <c r="BA16" s="292">
        <f>'TTM Original - Good'!P16</f>
        <v>71999.71638819536</v>
      </c>
      <c r="BB16" s="266"/>
      <c r="BD16" s="208">
        <f>(AZ16+(AZ16*BB16))</f>
        <v>71999.71638819536</v>
      </c>
      <c r="BE16" s="207">
        <f t="shared" si="27"/>
        <v>71999.71638819536</v>
      </c>
      <c r="BF16" s="209">
        <f t="shared" si="28"/>
        <v>71999.71638819536</v>
      </c>
    </row>
    <row r="17" spans="1:58" x14ac:dyDescent="0.3">
      <c r="A17" s="176">
        <v>5150</v>
      </c>
      <c r="B17" s="145" t="s">
        <v>111</v>
      </c>
      <c r="C17" s="221">
        <f t="shared" si="15"/>
        <v>1054.5463260713439</v>
      </c>
      <c r="D17" s="158">
        <f>'TTM Orignal - With Levers'!C17</f>
        <v>1054.5463260713439</v>
      </c>
      <c r="E17" s="218">
        <v>0</v>
      </c>
      <c r="F17" s="186"/>
      <c r="G17" s="221">
        <f t="shared" si="16"/>
        <v>943.80243289457269</v>
      </c>
      <c r="H17" s="158">
        <f>'TTM Orignal - With Levers'!D17</f>
        <v>943.80243289457269</v>
      </c>
      <c r="I17" s="218">
        <v>0</v>
      </c>
      <c r="J17" s="186"/>
      <c r="K17" s="221">
        <f t="shared" si="17"/>
        <v>814.87670650967482</v>
      </c>
      <c r="L17" s="158">
        <f>'TTM Orignal - With Levers'!E17</f>
        <v>814.87670650967482</v>
      </c>
      <c r="M17" s="218">
        <v>0</v>
      </c>
      <c r="N17" s="186"/>
      <c r="O17" s="221">
        <f t="shared" si="18"/>
        <v>714.87662386497857</v>
      </c>
      <c r="P17" s="158">
        <f>'TTM Orignal - With Levers'!F17</f>
        <v>714.87662386497857</v>
      </c>
      <c r="Q17" s="218">
        <v>0</v>
      </c>
      <c r="R17" s="186"/>
      <c r="S17" s="221">
        <f t="shared" si="19"/>
        <v>561.15748855990796</v>
      </c>
      <c r="T17" s="158">
        <f>'TTM Orignal - With Levers'!G17</f>
        <v>561.15748855990796</v>
      </c>
      <c r="U17" s="218">
        <v>0</v>
      </c>
      <c r="V17" s="186"/>
      <c r="W17" s="221">
        <f t="shared" si="20"/>
        <v>649.58731370852365</v>
      </c>
      <c r="X17" s="158">
        <f>'TTM Orignal - With Levers'!H17</f>
        <v>649.58731370852365</v>
      </c>
      <c r="Y17" s="218">
        <v>0</v>
      </c>
      <c r="Z17" s="186"/>
      <c r="AA17" s="221">
        <f t="shared" si="21"/>
        <v>631.40548050039718</v>
      </c>
      <c r="AB17" s="158">
        <f>'TTM Orignal - With Levers'!I17</f>
        <v>631.40548050039718</v>
      </c>
      <c r="AC17" s="218">
        <v>0</v>
      </c>
      <c r="AD17" s="186"/>
      <c r="AE17" s="256">
        <f t="shared" si="22"/>
        <v>856.71145182764621</v>
      </c>
      <c r="AF17" s="188">
        <f>'TTM Orignal - With Levers'!J17</f>
        <v>732.23201010909929</v>
      </c>
      <c r="AG17" s="255">
        <v>0.17</v>
      </c>
      <c r="AH17" s="183"/>
      <c r="AI17" s="256">
        <f t="shared" si="23"/>
        <v>2540.1591240984499</v>
      </c>
      <c r="AJ17" s="188">
        <f>'TTM Orignal - With Levers'!K17</f>
        <v>762.81054777731231</v>
      </c>
      <c r="AK17" s="255">
        <v>2.33</v>
      </c>
      <c r="AL17" s="183"/>
      <c r="AM17" s="256">
        <f t="shared" si="24"/>
        <v>3709.6229005147939</v>
      </c>
      <c r="AN17" s="188">
        <f>'TTM Orignal - With Levers'!L17</f>
        <v>1117.3562953357814</v>
      </c>
      <c r="AO17" s="255">
        <v>2.3199999999999998</v>
      </c>
      <c r="AP17" s="183"/>
      <c r="AQ17" s="256">
        <f t="shared" si="25"/>
        <v>3480.0028760354344</v>
      </c>
      <c r="AR17" s="188">
        <f>'TTM Orignal - With Levers'!M17</f>
        <v>1054.5463260713439</v>
      </c>
      <c r="AS17" s="255">
        <v>2.2999999999999998</v>
      </c>
      <c r="AT17" s="183"/>
      <c r="AU17" s="256">
        <f t="shared" si="26"/>
        <v>3167.6200558843439</v>
      </c>
      <c r="AV17" s="158">
        <f>'TTM Orignal - With Levers'!N17</f>
        <v>962.80244859706499</v>
      </c>
      <c r="AW17" s="248">
        <v>2.29</v>
      </c>
      <c r="AX17" s="186"/>
      <c r="AY17" s="76"/>
      <c r="AZ17" s="294">
        <f>SUM(C17,G17,K17,O17,S17,W17,AA17,AE17,AI17,AM17,AQ17,AU17)</f>
        <v>19124.368780470068</v>
      </c>
      <c r="BA17" s="292">
        <f>'TTM Original - Good'!P17</f>
        <v>10000.000000000002</v>
      </c>
      <c r="BB17" s="266"/>
      <c r="BD17" s="208">
        <f>(AZ17+(AZ17*BB17))</f>
        <v>19124.368780470068</v>
      </c>
      <c r="BE17" s="207">
        <f t="shared" si="27"/>
        <v>19124.368780470068</v>
      </c>
      <c r="BF17" s="209">
        <f t="shared" si="28"/>
        <v>19124.368780470068</v>
      </c>
    </row>
    <row r="18" spans="1:58" x14ac:dyDescent="0.3">
      <c r="A18" s="178"/>
      <c r="B18" s="131" t="s">
        <v>112</v>
      </c>
      <c r="C18" s="69">
        <f t="shared" ref="C18:AY18" si="29">SUM(C13:C17)</f>
        <v>57432.969756999795</v>
      </c>
      <c r="D18" s="69"/>
      <c r="E18" s="69"/>
      <c r="F18" s="69"/>
      <c r="G18" s="69">
        <f t="shared" si="29"/>
        <v>51970.537196311736</v>
      </c>
      <c r="H18" s="69"/>
      <c r="I18" s="69"/>
      <c r="J18" s="69"/>
      <c r="K18" s="69">
        <f t="shared" si="29"/>
        <v>44412.794812227126</v>
      </c>
      <c r="L18" s="69"/>
      <c r="M18" s="69"/>
      <c r="N18" s="69"/>
      <c r="O18" s="69">
        <f t="shared" si="29"/>
        <v>39337.090783546104</v>
      </c>
      <c r="P18" s="69"/>
      <c r="Q18" s="69"/>
      <c r="R18" s="69"/>
      <c r="S18" s="69">
        <f t="shared" si="29"/>
        <v>30721.689026189273</v>
      </c>
      <c r="T18" s="69"/>
      <c r="U18" s="69"/>
      <c r="V18" s="69"/>
      <c r="W18" s="69">
        <f t="shared" si="29"/>
        <v>35562.95666360054</v>
      </c>
      <c r="X18" s="69"/>
      <c r="Y18" s="69"/>
      <c r="Z18" s="69"/>
      <c r="AA18" s="69">
        <f t="shared" si="29"/>
        <v>34567.555840955247</v>
      </c>
      <c r="AB18" s="69"/>
      <c r="AC18" s="69"/>
      <c r="AD18" s="69"/>
      <c r="AE18" s="69">
        <f t="shared" si="29"/>
        <v>44460.745609707119</v>
      </c>
      <c r="AF18" s="69"/>
      <c r="AG18" s="69"/>
      <c r="AH18" s="69"/>
      <c r="AI18" s="69">
        <f t="shared" si="29"/>
        <v>52270.77541634332</v>
      </c>
      <c r="AJ18" s="69"/>
      <c r="AK18" s="69"/>
      <c r="AL18" s="69"/>
      <c r="AM18" s="69">
        <f t="shared" si="29"/>
        <v>75246.333968871055</v>
      </c>
      <c r="AN18" s="69"/>
      <c r="AO18" s="69"/>
      <c r="AP18" s="69"/>
      <c r="AQ18" s="69">
        <f t="shared" si="29"/>
        <v>69503.040839703172</v>
      </c>
      <c r="AR18" s="69"/>
      <c r="AS18" s="69"/>
      <c r="AT18" s="69"/>
      <c r="AU18" s="69">
        <f t="shared" si="29"/>
        <v>66119.254654342687</v>
      </c>
      <c r="AV18" s="69"/>
      <c r="AW18" s="69"/>
      <c r="AX18" s="69"/>
      <c r="AY18" s="258">
        <f t="shared" si="29"/>
        <v>686970</v>
      </c>
      <c r="AZ18" s="258">
        <f>SUM(AZ13:AZ17)</f>
        <v>601605.74456879718</v>
      </c>
      <c r="BA18" s="295">
        <f>SUM(BA13:BA17)</f>
        <v>547469.7163881954</v>
      </c>
      <c r="BD18" s="69">
        <f>SUM(BD13:BD17)</f>
        <v>601605.74456879718</v>
      </c>
      <c r="BE18" s="69">
        <f t="shared" ref="BE18:BF18" si="30">SUM(BE13:BE17)</f>
        <v>601605.74456879718</v>
      </c>
      <c r="BF18" s="69">
        <f t="shared" si="30"/>
        <v>601605.74456879718</v>
      </c>
    </row>
    <row r="19" spans="1:58" x14ac:dyDescent="0.3">
      <c r="A19" s="177"/>
      <c r="B19" s="82" t="s">
        <v>69</v>
      </c>
      <c r="C19" s="83">
        <f>SUM(C5-C18)</f>
        <v>25507.030243000205</v>
      </c>
      <c r="D19" s="83"/>
      <c r="E19" s="83"/>
      <c r="F19" s="83"/>
      <c r="G19" s="83">
        <f t="shared" ref="G19:AU19" si="31">SUM(G5-G18)</f>
        <v>22259.462803688264</v>
      </c>
      <c r="H19" s="83"/>
      <c r="I19" s="83"/>
      <c r="J19" s="83"/>
      <c r="K19" s="83">
        <f t="shared" si="31"/>
        <v>19677.205187772874</v>
      </c>
      <c r="L19" s="83"/>
      <c r="M19" s="83"/>
      <c r="N19" s="83"/>
      <c r="O19" s="83">
        <f t="shared" si="31"/>
        <v>20261.409216453903</v>
      </c>
      <c r="P19" s="83"/>
      <c r="Q19" s="83"/>
      <c r="R19" s="83"/>
      <c r="S19" s="83">
        <f t="shared" si="31"/>
        <v>16061.410973810725</v>
      </c>
      <c r="T19" s="83"/>
      <c r="U19" s="83"/>
      <c r="V19" s="83"/>
      <c r="W19" s="83">
        <f t="shared" si="31"/>
        <v>18592.443336399461</v>
      </c>
      <c r="X19" s="83"/>
      <c r="Y19" s="83"/>
      <c r="Z19" s="83"/>
      <c r="AA19" s="83">
        <f t="shared" si="31"/>
        <v>18072.044159044752</v>
      </c>
      <c r="AB19" s="83"/>
      <c r="AC19" s="83"/>
      <c r="AD19" s="83"/>
      <c r="AE19" s="83">
        <f t="shared" si="31"/>
        <v>23299.648390292881</v>
      </c>
      <c r="AF19" s="83"/>
      <c r="AG19" s="83"/>
      <c r="AH19" s="83"/>
      <c r="AI19" s="83">
        <f t="shared" si="31"/>
        <v>27858.54658365668</v>
      </c>
      <c r="AJ19" s="83"/>
      <c r="AK19" s="83"/>
      <c r="AL19" s="83"/>
      <c r="AM19" s="83">
        <f t="shared" si="31"/>
        <v>40263.138031128939</v>
      </c>
      <c r="AN19" s="83"/>
      <c r="AO19" s="83"/>
      <c r="AP19" s="83"/>
      <c r="AQ19" s="83">
        <f t="shared" si="31"/>
        <v>33359.147160296838</v>
      </c>
      <c r="AR19" s="83"/>
      <c r="AS19" s="83"/>
      <c r="AT19" s="83"/>
      <c r="AU19" s="83">
        <f t="shared" si="31"/>
        <v>31375.845970657319</v>
      </c>
      <c r="AV19" s="83"/>
      <c r="AW19" s="83"/>
      <c r="AX19" s="83"/>
      <c r="AY19" s="259">
        <f>SUM(AY5-AY18)</f>
        <v>-686970</v>
      </c>
      <c r="AZ19" s="259">
        <f>SUM(AZ5-AZ18)</f>
        <v>296587.33205620269</v>
      </c>
      <c r="BA19" s="296">
        <f>SUM(BA5-BA18)</f>
        <v>239029.63361180457</v>
      </c>
      <c r="BB19" s="150"/>
      <c r="BD19" s="83">
        <f>SUM(BD5-BD18)</f>
        <v>296587.33205620269</v>
      </c>
      <c r="BE19" s="83">
        <f t="shared" ref="BE19:BF19" si="32">SUM(BE5-BE18)</f>
        <v>296587.33205620269</v>
      </c>
      <c r="BF19" s="83">
        <f t="shared" si="32"/>
        <v>296587.33205620269</v>
      </c>
    </row>
    <row r="20" spans="1:58" x14ac:dyDescent="0.3">
      <c r="A20" s="175"/>
      <c r="B20" s="84" t="s">
        <v>70</v>
      </c>
      <c r="C20" s="85">
        <f t="shared" ref="C20:AY20" si="33">(C5-C18)/C5</f>
        <v>0.30753593251748501</v>
      </c>
      <c r="D20" s="85"/>
      <c r="E20" s="85"/>
      <c r="F20" s="85"/>
      <c r="G20" s="85">
        <f t="shared" si="33"/>
        <v>0.29987151830376213</v>
      </c>
      <c r="H20" s="85"/>
      <c r="I20" s="85"/>
      <c r="J20" s="85"/>
      <c r="K20" s="85">
        <f t="shared" si="33"/>
        <v>0.30702457774649516</v>
      </c>
      <c r="L20" s="85"/>
      <c r="M20" s="85"/>
      <c r="N20" s="85"/>
      <c r="O20" s="85">
        <f t="shared" si="33"/>
        <v>0.33996508664570252</v>
      </c>
      <c r="P20" s="85"/>
      <c r="Q20" s="85"/>
      <c r="R20" s="85"/>
      <c r="S20" s="85">
        <f t="shared" si="33"/>
        <v>0.3433165175845706</v>
      </c>
      <c r="T20" s="85"/>
      <c r="U20" s="85"/>
      <c r="V20" s="85"/>
      <c r="W20" s="85">
        <f t="shared" si="33"/>
        <v>0.34331651758457071</v>
      </c>
      <c r="X20" s="85"/>
      <c r="Y20" s="85"/>
      <c r="Z20" s="85"/>
      <c r="AA20" s="85">
        <f t="shared" si="33"/>
        <v>0.34331651758457038</v>
      </c>
      <c r="AB20" s="85"/>
      <c r="AC20" s="85"/>
      <c r="AD20" s="85"/>
      <c r="AE20" s="85">
        <f t="shared" si="33"/>
        <v>0.34385349634024975</v>
      </c>
      <c r="AF20" s="85"/>
      <c r="AG20" s="85"/>
      <c r="AH20" s="85"/>
      <c r="AI20" s="85">
        <f t="shared" si="33"/>
        <v>0.34766981534745395</v>
      </c>
      <c r="AJ20" s="85"/>
      <c r="AK20" s="85"/>
      <c r="AL20" s="85"/>
      <c r="AM20" s="85">
        <f t="shared" si="33"/>
        <v>0.34857001191321296</v>
      </c>
      <c r="AN20" s="85"/>
      <c r="AO20" s="85"/>
      <c r="AP20" s="85"/>
      <c r="AQ20" s="85">
        <f t="shared" si="33"/>
        <v>0.32430913447317333</v>
      </c>
      <c r="AR20" s="85"/>
      <c r="AS20" s="85"/>
      <c r="AT20" s="85"/>
      <c r="AU20" s="85">
        <f t="shared" si="33"/>
        <v>0.32181971985792096</v>
      </c>
      <c r="AV20" s="85"/>
      <c r="AW20" s="85"/>
      <c r="AX20" s="85"/>
      <c r="AY20" s="260" t="e">
        <f t="shared" si="33"/>
        <v>#DIV/0!</v>
      </c>
      <c r="AZ20" s="306">
        <f>(AZ5-AZ18)/AZ5</f>
        <v>0.33020442906400782</v>
      </c>
      <c r="BA20" s="297">
        <f>(BA5-BA18)/BA5</f>
        <v>0.30391586923982145</v>
      </c>
      <c r="BB20" s="148"/>
      <c r="BD20" s="85">
        <f>(BD5-BD18)/BD5</f>
        <v>0.33020442906400782</v>
      </c>
      <c r="BE20" s="85">
        <f t="shared" ref="BE20:BF20" si="34">(BE5-BE18)/BE5</f>
        <v>0.33020442906400782</v>
      </c>
      <c r="BF20" s="85">
        <f t="shared" si="34"/>
        <v>0.33020442906400782</v>
      </c>
    </row>
    <row r="21" spans="1:58" x14ac:dyDescent="0.3">
      <c r="A21" s="175"/>
      <c r="B21" s="47"/>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148"/>
    </row>
    <row r="22" spans="1:58" x14ac:dyDescent="0.3">
      <c r="A22" s="175"/>
      <c r="B22" s="101" t="s">
        <v>113</v>
      </c>
      <c r="C22" s="9"/>
      <c r="D22" s="9"/>
      <c r="E22" s="9"/>
      <c r="F22" s="9"/>
      <c r="G22" s="5"/>
      <c r="H22" s="9"/>
      <c r="I22" s="9"/>
      <c r="J22" s="9"/>
      <c r="K22" s="5"/>
      <c r="L22" s="5"/>
      <c r="M22" s="9"/>
      <c r="N22" s="9"/>
      <c r="O22" s="5"/>
      <c r="P22" s="5"/>
      <c r="Q22" s="9"/>
      <c r="R22" s="9"/>
      <c r="S22" s="5"/>
      <c r="T22" s="5"/>
      <c r="U22" s="9"/>
      <c r="V22" s="9"/>
      <c r="W22" s="6"/>
      <c r="X22" s="6"/>
      <c r="Y22" s="9"/>
      <c r="Z22" s="9"/>
      <c r="AA22" s="6"/>
      <c r="AB22" s="6"/>
      <c r="AC22" s="9"/>
      <c r="AD22" s="9"/>
      <c r="AE22" s="6"/>
      <c r="AF22" s="6"/>
      <c r="AG22" s="9"/>
      <c r="AH22" s="9"/>
      <c r="AI22" s="6"/>
      <c r="AJ22" s="6"/>
      <c r="AK22" s="9"/>
      <c r="AL22" s="9"/>
      <c r="AM22" s="6"/>
      <c r="AN22" s="6"/>
      <c r="AO22" s="9"/>
      <c r="AP22" s="9"/>
      <c r="AQ22" s="6"/>
      <c r="AR22" s="6"/>
      <c r="AS22" s="9"/>
      <c r="AT22" s="9"/>
      <c r="AU22" s="6"/>
      <c r="AV22" s="6"/>
      <c r="AW22" s="9"/>
      <c r="AX22" s="9"/>
      <c r="AY22" s="7"/>
      <c r="AZ22" s="8"/>
      <c r="BA22" s="8"/>
      <c r="BB22" s="195"/>
    </row>
    <row r="23" spans="1:58" x14ac:dyDescent="0.3">
      <c r="A23" s="175">
        <v>5210</v>
      </c>
      <c r="B23" s="145" t="s">
        <v>114</v>
      </c>
      <c r="C23" s="221">
        <f t="shared" ref="C23:C24" si="35">D23+(D23*E23)</f>
        <v>10018.1900976778</v>
      </c>
      <c r="D23" s="158">
        <f>'TTM Orignal - With Levers'!C23</f>
        <v>10018.1900976778</v>
      </c>
      <c r="E23" s="216">
        <v>0</v>
      </c>
      <c r="F23" s="212"/>
      <c r="G23" s="221">
        <f t="shared" ref="G23:G24" si="36">H23+(H23*I23)</f>
        <v>6966.1231124984397</v>
      </c>
      <c r="H23" s="158">
        <f>'TTM Orignal - With Levers'!D23</f>
        <v>6966.1231124984397</v>
      </c>
      <c r="I23" s="216">
        <v>0</v>
      </c>
      <c r="J23" s="212"/>
      <c r="K23" s="221">
        <f t="shared" ref="K23:K24" si="37">L23+(L23*M23)</f>
        <v>6241.3287118419103</v>
      </c>
      <c r="L23" s="158">
        <f>'TTM Orignal - With Levers'!E23</f>
        <v>6241.3287118419103</v>
      </c>
      <c r="M23" s="216">
        <v>0</v>
      </c>
      <c r="N23" s="212"/>
      <c r="O23" s="156">
        <v>6291.3279267172902</v>
      </c>
      <c r="P23" s="158">
        <f>'TTM Orignal - With Levers'!F23</f>
        <v>6291.3279267172902</v>
      </c>
      <c r="Q23" s="216">
        <v>0</v>
      </c>
      <c r="R23" s="212"/>
      <c r="S23" s="221">
        <f t="shared" ref="S23:S24" si="38">T23+(T23*U23)</f>
        <v>4130.9961413191204</v>
      </c>
      <c r="T23" s="158">
        <f>'TTM Orignal - With Levers'!G23</f>
        <v>4130.9961413191204</v>
      </c>
      <c r="U23" s="216">
        <v>0</v>
      </c>
      <c r="V23" s="212"/>
      <c r="W23" s="221">
        <f t="shared" ref="W23:W24" si="39">X23+(X23*Y23)</f>
        <v>5371.0794802309701</v>
      </c>
      <c r="X23" s="158">
        <f>'TTM Orignal - With Levers'!H23</f>
        <v>5371.0794802309701</v>
      </c>
      <c r="Y23" s="218">
        <v>0</v>
      </c>
      <c r="Z23" s="212"/>
      <c r="AA23" s="221">
        <f t="shared" ref="AA23:AA24" si="40">AB23+(AB23*AC23)</f>
        <v>5998.3520647537698</v>
      </c>
      <c r="AB23" s="158">
        <f>'TTM Orignal - With Levers'!I23</f>
        <v>5998.3520647537698</v>
      </c>
      <c r="AC23" s="215">
        <v>0</v>
      </c>
      <c r="AD23" s="212"/>
      <c r="AE23" s="221">
        <f t="shared" ref="AE23:AE24" si="41">AF23+(AF23*AG23)</f>
        <v>5055.3281779571689</v>
      </c>
      <c r="AF23" s="158">
        <f>'TTM Orignal - With Levers'!J23</f>
        <v>4956.2040960364402</v>
      </c>
      <c r="AG23" s="250">
        <v>0.02</v>
      </c>
      <c r="AH23" s="212"/>
      <c r="AI23" s="221">
        <f t="shared" ref="AI23:AI24" si="42">AJ23+(AJ23*AK23)</f>
        <v>7464.1012100010048</v>
      </c>
      <c r="AJ23" s="158">
        <f>'TTM Orignal - With Levers'!K23</f>
        <v>7246.7002038844703</v>
      </c>
      <c r="AK23" s="250">
        <v>0.03</v>
      </c>
      <c r="AL23" s="212"/>
      <c r="AM23" s="221">
        <f t="shared" ref="AM23:AM24" si="43">AN23+(AN23*AO23)</f>
        <v>9903.3313498605967</v>
      </c>
      <c r="AN23" s="158">
        <f>'TTM Orignal - With Levers'!L23</f>
        <v>9614.8848056899005</v>
      </c>
      <c r="AO23" s="250">
        <v>0.03</v>
      </c>
      <c r="AP23" s="212"/>
      <c r="AQ23" s="221">
        <f t="shared" ref="AQ23:AQ24" si="44">AR23+(AR23*AS23)</f>
        <v>9378.9177015849109</v>
      </c>
      <c r="AR23" s="158">
        <f>'TTM Orignal - With Levers'!M23</f>
        <v>9018.1900976777997</v>
      </c>
      <c r="AS23" s="250">
        <v>0.04</v>
      </c>
      <c r="AT23" s="212"/>
      <c r="AU23" s="221">
        <f t="shared" ref="AU23:AU24" si="45">AV23+(AV23*AW23)</f>
        <v>9603.954424755706</v>
      </c>
      <c r="AV23" s="158">
        <f>'TTM Orignal - With Levers'!N23</f>
        <v>9146.6232616721009</v>
      </c>
      <c r="AW23" s="250">
        <v>0.05</v>
      </c>
      <c r="AX23" s="212"/>
      <c r="AY23" s="97">
        <f>SUM(C23:AU23)</f>
        <v>162276.52713752657</v>
      </c>
      <c r="AZ23" s="294">
        <f>SUM(C23,G23,K23,O23,S23,W23,AA23,AE23,AI23,AM23,AQ23,AU23)</f>
        <v>86423.030399198688</v>
      </c>
      <c r="BA23" s="291">
        <f>'TTM Orignal - With Levers'!V23</f>
        <v>85000.000000000015</v>
      </c>
      <c r="BB23" s="266"/>
      <c r="BD23" s="208">
        <f>(AZ23+(AZ23*BB23))</f>
        <v>86423.030399198688</v>
      </c>
      <c r="BE23" s="207">
        <f t="shared" ref="BE23:BE24" si="46">AZ23</f>
        <v>86423.030399198688</v>
      </c>
      <c r="BF23" s="209">
        <f t="shared" ref="BF23:BF24" si="47">BD23</f>
        <v>86423.030399198688</v>
      </c>
    </row>
    <row r="24" spans="1:58" x14ac:dyDescent="0.3">
      <c r="A24" s="175">
        <v>5220</v>
      </c>
      <c r="B24" s="145" t="s">
        <v>109</v>
      </c>
      <c r="C24" s="221">
        <f t="shared" si="35"/>
        <v>1101.81900976778</v>
      </c>
      <c r="D24" s="158">
        <f>'TTM Orignal - With Levers'!C24</f>
        <v>1101.81900976778</v>
      </c>
      <c r="E24" s="216">
        <v>0</v>
      </c>
      <c r="F24" s="212"/>
      <c r="G24" s="221">
        <f t="shared" si="36"/>
        <v>796.61231124984397</v>
      </c>
      <c r="H24" s="158">
        <f>'TTM Orignal - With Levers'!D24</f>
        <v>796.61231124984397</v>
      </c>
      <c r="I24" s="216">
        <v>0</v>
      </c>
      <c r="J24" s="212"/>
      <c r="K24" s="221">
        <f t="shared" si="37"/>
        <v>724.13287118419112</v>
      </c>
      <c r="L24" s="158">
        <f>'TTM Orignal - With Levers'!E24</f>
        <v>724.13287118419112</v>
      </c>
      <c r="M24" s="216">
        <v>0</v>
      </c>
      <c r="N24" s="212"/>
      <c r="O24" s="156">
        <v>729.13279267172902</v>
      </c>
      <c r="P24" s="158">
        <f>'TTM Orignal - With Levers'!F24</f>
        <v>729.13279267172902</v>
      </c>
      <c r="Q24" s="216">
        <v>0</v>
      </c>
      <c r="R24" s="212"/>
      <c r="S24" s="221">
        <f t="shared" si="38"/>
        <v>513.09961413191206</v>
      </c>
      <c r="T24" s="158">
        <f>'TTM Orignal - With Levers'!G24</f>
        <v>513.09961413191206</v>
      </c>
      <c r="U24" s="216">
        <v>0</v>
      </c>
      <c r="V24" s="212"/>
      <c r="W24" s="221">
        <f t="shared" si="39"/>
        <v>637.10794802309704</v>
      </c>
      <c r="X24" s="158">
        <f>'TTM Orignal - With Levers'!H24</f>
        <v>637.10794802309704</v>
      </c>
      <c r="Y24" s="218">
        <v>0</v>
      </c>
      <c r="Z24" s="212"/>
      <c r="AA24" s="221">
        <f t="shared" si="40"/>
        <v>699.83520647537705</v>
      </c>
      <c r="AB24" s="158">
        <f>'TTM Orignal - With Levers'!I24</f>
        <v>699.83520647537705</v>
      </c>
      <c r="AC24" s="215">
        <v>0</v>
      </c>
      <c r="AD24" s="212"/>
      <c r="AE24" s="221">
        <f t="shared" si="41"/>
        <v>607.53281779571694</v>
      </c>
      <c r="AF24" s="158">
        <f>'TTM Orignal - With Levers'!J24</f>
        <v>595.62040960364402</v>
      </c>
      <c r="AG24" s="250">
        <v>0.02</v>
      </c>
      <c r="AH24" s="212"/>
      <c r="AI24" s="221">
        <f t="shared" si="42"/>
        <v>849.41012100010039</v>
      </c>
      <c r="AJ24" s="158">
        <f>'TTM Orignal - With Levers'!K24</f>
        <v>824.67002038844703</v>
      </c>
      <c r="AK24" s="250">
        <v>0.03</v>
      </c>
      <c r="AL24" s="212"/>
      <c r="AM24" s="221">
        <f t="shared" si="43"/>
        <v>990.3331349860598</v>
      </c>
      <c r="AN24" s="158">
        <f>'TTM Orignal - With Levers'!L24</f>
        <v>961.4884805689901</v>
      </c>
      <c r="AO24" s="250">
        <v>0.03</v>
      </c>
      <c r="AP24" s="212"/>
      <c r="AQ24" s="221">
        <f t="shared" si="44"/>
        <v>937.89177015849123</v>
      </c>
      <c r="AR24" s="158">
        <f>'TTM Orignal - With Levers'!M24</f>
        <v>901.81900976778002</v>
      </c>
      <c r="AS24" s="250">
        <v>0.04</v>
      </c>
      <c r="AT24" s="212"/>
      <c r="AU24" s="221">
        <f t="shared" si="45"/>
        <v>1065.3954424755707</v>
      </c>
      <c r="AV24" s="158">
        <f>'TTM Orignal - With Levers'!N24</f>
        <v>1014.6623261672102</v>
      </c>
      <c r="AW24" s="250">
        <v>0.05</v>
      </c>
      <c r="AX24" s="212"/>
      <c r="AY24" s="97"/>
      <c r="AZ24" s="294">
        <f>SUM(C24,G24,K24,O24,S24,W24,AA24,AE24,AI24,AM24,AQ24,AU24)</f>
        <v>9652.3030399198688</v>
      </c>
      <c r="BA24" s="292">
        <f>'TTM Orignal - With Levers'!V24</f>
        <v>9500.0000000000018</v>
      </c>
      <c r="BB24" s="266"/>
      <c r="BD24" s="208">
        <f>(AZ24+(AZ24*BB24))</f>
        <v>9652.3030399198688</v>
      </c>
      <c r="BE24" s="207">
        <f t="shared" si="46"/>
        <v>9652.3030399198688</v>
      </c>
      <c r="BF24" s="209">
        <f t="shared" si="47"/>
        <v>9652.3030399198688</v>
      </c>
    </row>
    <row r="25" spans="1:58" x14ac:dyDescent="0.3">
      <c r="A25" s="175"/>
      <c r="B25" s="101" t="s">
        <v>115</v>
      </c>
      <c r="C25" s="67">
        <f t="shared" ref="C25:AY25" si="48">SUM(C23:C24)</f>
        <v>11120.00910744558</v>
      </c>
      <c r="D25" s="67"/>
      <c r="E25" s="67"/>
      <c r="F25" s="67"/>
      <c r="G25" s="67">
        <f t="shared" si="48"/>
        <v>7762.7354237482832</v>
      </c>
      <c r="H25" s="67"/>
      <c r="I25" s="67"/>
      <c r="J25" s="67"/>
      <c r="K25" s="67">
        <f t="shared" si="48"/>
        <v>6965.4615830261009</v>
      </c>
      <c r="L25" s="67"/>
      <c r="M25" s="67"/>
      <c r="N25" s="67"/>
      <c r="O25" s="67">
        <f t="shared" si="48"/>
        <v>7020.4607193890188</v>
      </c>
      <c r="P25" s="67"/>
      <c r="Q25" s="67"/>
      <c r="R25" s="67"/>
      <c r="S25" s="67">
        <f t="shared" si="48"/>
        <v>4644.0957554510323</v>
      </c>
      <c r="T25" s="67"/>
      <c r="U25" s="67"/>
      <c r="V25" s="67"/>
      <c r="W25" s="67">
        <f t="shared" si="48"/>
        <v>6008.1874282540675</v>
      </c>
      <c r="X25" s="67"/>
      <c r="Y25" s="67"/>
      <c r="Z25" s="67"/>
      <c r="AA25" s="67">
        <f t="shared" si="48"/>
        <v>6698.187271229147</v>
      </c>
      <c r="AB25" s="67"/>
      <c r="AC25" s="67"/>
      <c r="AD25" s="67"/>
      <c r="AE25" s="67">
        <f t="shared" si="48"/>
        <v>5662.8609957528861</v>
      </c>
      <c r="AF25" s="67"/>
      <c r="AG25" s="67"/>
      <c r="AH25" s="67"/>
      <c r="AI25" s="67">
        <f t="shared" si="48"/>
        <v>8313.5113310011056</v>
      </c>
      <c r="AJ25" s="67"/>
      <c r="AK25" s="67"/>
      <c r="AL25" s="67"/>
      <c r="AM25" s="67">
        <f t="shared" si="48"/>
        <v>10893.664484846657</v>
      </c>
      <c r="AN25" s="67"/>
      <c r="AO25" s="67"/>
      <c r="AP25" s="67"/>
      <c r="AQ25" s="67">
        <f t="shared" si="48"/>
        <v>10316.809471743401</v>
      </c>
      <c r="AR25" s="67"/>
      <c r="AS25" s="67"/>
      <c r="AT25" s="67"/>
      <c r="AU25" s="67">
        <f t="shared" si="48"/>
        <v>10669.349867231276</v>
      </c>
      <c r="AV25" s="67"/>
      <c r="AW25" s="67"/>
      <c r="AX25" s="67"/>
      <c r="AY25" s="163">
        <f t="shared" si="48"/>
        <v>162276.52713752657</v>
      </c>
      <c r="AZ25" s="258">
        <f>SUM(AZ23:AZ24)</f>
        <v>96075.333439118549</v>
      </c>
      <c r="BA25" s="295">
        <f>SUM(BA23:BA24)</f>
        <v>94500.000000000015</v>
      </c>
      <c r="BB25" s="148"/>
      <c r="BD25" s="67">
        <f>SUM(BD23:BD24)</f>
        <v>96075.333439118549</v>
      </c>
      <c r="BE25" s="67">
        <f t="shared" ref="BE25:BF25" si="49">SUM(BE23:BE24)</f>
        <v>96075.333439118549</v>
      </c>
      <c r="BF25" s="67">
        <f t="shared" si="49"/>
        <v>96075.333439118549</v>
      </c>
    </row>
    <row r="26" spans="1:58" x14ac:dyDescent="0.3">
      <c r="A26" s="175"/>
      <c r="B26" s="129" t="s">
        <v>69</v>
      </c>
      <c r="C26" s="153">
        <f t="shared" ref="C26:AZ26" si="50">SUM(C6-C25)</f>
        <v>4191.9908925544205</v>
      </c>
      <c r="D26" s="153"/>
      <c r="E26" s="153"/>
      <c r="F26" s="153"/>
      <c r="G26" s="83">
        <f t="shared" si="50"/>
        <v>5941.2645762517168</v>
      </c>
      <c r="H26" s="153"/>
      <c r="I26" s="153"/>
      <c r="J26" s="153"/>
      <c r="K26" s="83">
        <f t="shared" si="50"/>
        <v>4866.5384169738991</v>
      </c>
      <c r="L26" s="83"/>
      <c r="M26" s="153"/>
      <c r="N26" s="153"/>
      <c r="O26" s="83">
        <f t="shared" si="50"/>
        <v>3670.9392806109809</v>
      </c>
      <c r="P26" s="83"/>
      <c r="Q26" s="153"/>
      <c r="R26" s="153"/>
      <c r="S26" s="83">
        <f t="shared" si="50"/>
        <v>3748.3442445489682</v>
      </c>
      <c r="T26" s="83"/>
      <c r="U26" s="153"/>
      <c r="V26" s="153"/>
      <c r="W26" s="83">
        <f t="shared" si="50"/>
        <v>3706.7725717459316</v>
      </c>
      <c r="X26" s="83"/>
      <c r="Y26" s="153"/>
      <c r="Z26" s="153"/>
      <c r="AA26" s="83">
        <f t="shared" si="50"/>
        <v>2744.8527287708539</v>
      </c>
      <c r="AB26" s="83"/>
      <c r="AC26" s="153"/>
      <c r="AD26" s="153"/>
      <c r="AE26" s="83">
        <f t="shared" si="50"/>
        <v>5507.1182042471137</v>
      </c>
      <c r="AF26" s="83"/>
      <c r="AG26" s="153"/>
      <c r="AH26" s="153"/>
      <c r="AI26" s="83">
        <f t="shared" si="50"/>
        <v>3437.0170689988954</v>
      </c>
      <c r="AJ26" s="83"/>
      <c r="AK26" s="153"/>
      <c r="AL26" s="153"/>
      <c r="AM26" s="83">
        <f t="shared" si="50"/>
        <v>6318.3771151533438</v>
      </c>
      <c r="AN26" s="83"/>
      <c r="AO26" s="153"/>
      <c r="AP26" s="153"/>
      <c r="AQ26" s="83">
        <f t="shared" si="50"/>
        <v>6085.4049282565993</v>
      </c>
      <c r="AR26" s="83"/>
      <c r="AS26" s="153"/>
      <c r="AT26" s="153"/>
      <c r="AU26" s="83">
        <f t="shared" si="50"/>
        <v>4449.8903527687271</v>
      </c>
      <c r="AV26" s="83"/>
      <c r="AW26" s="153"/>
      <c r="AX26" s="153"/>
      <c r="AY26" s="259">
        <f t="shared" si="50"/>
        <v>-162276.52713752657</v>
      </c>
      <c r="AZ26" s="259">
        <f t="shared" si="50"/>
        <v>54668.51038088146</v>
      </c>
      <c r="BA26" s="296">
        <f>SUM(BA6-BA25)</f>
        <v>50699.87999999999</v>
      </c>
      <c r="BB26" s="149"/>
      <c r="BD26" s="83">
        <f t="shared" ref="BD26:BF26" si="51">SUM(BD6-BD25)</f>
        <v>54668.51038088146</v>
      </c>
      <c r="BE26" s="83">
        <f t="shared" si="51"/>
        <v>54668.51038088146</v>
      </c>
      <c r="BF26" s="83">
        <f t="shared" si="51"/>
        <v>54668.51038088146</v>
      </c>
    </row>
    <row r="27" spans="1:58" x14ac:dyDescent="0.3">
      <c r="A27" s="175"/>
      <c r="B27" s="154" t="s">
        <v>70</v>
      </c>
      <c r="C27" s="85">
        <f t="shared" ref="C27:AY27" si="52">SUM(C6-C25)/C6</f>
        <v>0.27377161001530959</v>
      </c>
      <c r="D27" s="85"/>
      <c r="E27" s="85"/>
      <c r="F27" s="85"/>
      <c r="G27" s="85">
        <f t="shared" si="52"/>
        <v>0.43354236545911534</v>
      </c>
      <c r="H27" s="85"/>
      <c r="I27" s="85"/>
      <c r="J27" s="85"/>
      <c r="K27" s="85">
        <f t="shared" si="52"/>
        <v>0.41130311164417671</v>
      </c>
      <c r="L27" s="85"/>
      <c r="M27" s="85"/>
      <c r="N27" s="85"/>
      <c r="O27" s="85">
        <f t="shared" si="52"/>
        <v>0.34335440453177141</v>
      </c>
      <c r="P27" s="85"/>
      <c r="Q27" s="85"/>
      <c r="R27" s="85"/>
      <c r="S27" s="85">
        <f t="shared" si="52"/>
        <v>0.44663342776939341</v>
      </c>
      <c r="T27" s="85"/>
      <c r="U27" s="85"/>
      <c r="V27" s="85"/>
      <c r="W27" s="85">
        <f t="shared" si="52"/>
        <v>0.38155304517423971</v>
      </c>
      <c r="X27" s="85"/>
      <c r="Y27" s="85"/>
      <c r="Z27" s="85"/>
      <c r="AA27" s="85">
        <f t="shared" si="52"/>
        <v>0.29067469043558575</v>
      </c>
      <c r="AB27" s="85"/>
      <c r="AC27" s="85"/>
      <c r="AD27" s="85"/>
      <c r="AE27" s="85">
        <f t="shared" si="52"/>
        <v>0.49302851022740612</v>
      </c>
      <c r="AF27" s="85"/>
      <c r="AG27" s="85"/>
      <c r="AH27" s="85"/>
      <c r="AI27" s="85">
        <f t="shared" si="52"/>
        <v>0.29249893723918791</v>
      </c>
      <c r="AJ27" s="85"/>
      <c r="AK27" s="85"/>
      <c r="AL27" s="85"/>
      <c r="AM27" s="85">
        <f t="shared" si="52"/>
        <v>0.36709050919057407</v>
      </c>
      <c r="AN27" s="85"/>
      <c r="AO27" s="85"/>
      <c r="AP27" s="85"/>
      <c r="AQ27" s="85">
        <f t="shared" si="52"/>
        <v>0.37101118055477916</v>
      </c>
      <c r="AR27" s="85"/>
      <c r="AS27" s="85"/>
      <c r="AT27" s="85"/>
      <c r="AU27" s="85">
        <f t="shared" si="52"/>
        <v>0.29431970707643973</v>
      </c>
      <c r="AV27" s="85"/>
      <c r="AW27" s="85"/>
      <c r="AX27" s="85"/>
      <c r="AY27" s="260" t="e">
        <f t="shared" si="52"/>
        <v>#DIV/0!</v>
      </c>
      <c r="AZ27" s="306">
        <f>SUM(AZ6-AZ25)/AZ6</f>
        <v>0.36265832816469745</v>
      </c>
      <c r="BA27" s="297">
        <f>SUM(BA6-BA25)/BA6</f>
        <v>0.34917301584546756</v>
      </c>
      <c r="BB27" s="149"/>
      <c r="BD27" s="85">
        <f>SUM(BD6-BD25)/BD6</f>
        <v>0.36265832816469745</v>
      </c>
      <c r="BE27" s="85">
        <f t="shared" ref="BE27:BF27" si="53">SUM(BE6-BE25)/BE6</f>
        <v>0.36265832816469745</v>
      </c>
      <c r="BF27" s="85">
        <f t="shared" si="53"/>
        <v>0.36265832816469745</v>
      </c>
    </row>
    <row r="28" spans="1:58" x14ac:dyDescent="0.3">
      <c r="A28" s="175"/>
      <c r="B28" s="47"/>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4"/>
      <c r="BA28" s="24"/>
      <c r="BB28" s="146"/>
    </row>
    <row r="29" spans="1:58" x14ac:dyDescent="0.3">
      <c r="A29" s="175"/>
      <c r="B29" s="167" t="s">
        <v>116</v>
      </c>
      <c r="C29" s="9"/>
      <c r="D29" s="9"/>
      <c r="E29" s="9"/>
      <c r="F29" s="9"/>
      <c r="G29" s="5"/>
      <c r="H29" s="9"/>
      <c r="I29" s="9"/>
      <c r="J29" s="9"/>
      <c r="K29" s="5"/>
      <c r="L29" s="5"/>
      <c r="M29" s="9"/>
      <c r="N29" s="9"/>
      <c r="O29" s="5"/>
      <c r="P29" s="5"/>
      <c r="Q29" s="9"/>
      <c r="R29" s="9"/>
      <c r="S29" s="5"/>
      <c r="T29" s="5"/>
      <c r="U29" s="9"/>
      <c r="V29" s="9"/>
      <c r="W29" s="6"/>
      <c r="X29" s="6"/>
      <c r="Y29" s="9"/>
      <c r="Z29" s="9"/>
      <c r="AA29" s="6"/>
      <c r="AB29" s="6"/>
      <c r="AC29" s="9"/>
      <c r="AD29" s="9"/>
      <c r="AE29" s="6"/>
      <c r="AF29" s="6"/>
      <c r="AG29" s="9"/>
      <c r="AH29" s="9"/>
      <c r="AI29" s="6"/>
      <c r="AJ29" s="6"/>
      <c r="AK29" s="9"/>
      <c r="AL29" s="9"/>
      <c r="AM29" s="6"/>
      <c r="AN29" s="6"/>
      <c r="AO29" s="9"/>
      <c r="AP29" s="9"/>
      <c r="AQ29" s="6"/>
      <c r="AR29" s="6"/>
      <c r="AS29" s="9"/>
      <c r="AT29" s="9"/>
      <c r="AU29" s="6"/>
      <c r="AV29" s="6"/>
      <c r="AW29" s="9"/>
      <c r="AX29" s="9"/>
      <c r="AY29" s="7"/>
      <c r="AZ29" s="8"/>
      <c r="BA29" s="8"/>
      <c r="BB29" s="195"/>
    </row>
    <row r="30" spans="1:58" x14ac:dyDescent="0.3">
      <c r="A30" s="175">
        <v>5310</v>
      </c>
      <c r="B30" s="86" t="s">
        <v>117</v>
      </c>
      <c r="C30" s="221">
        <f t="shared" ref="C30:C32" si="54">D30+(D30*E30)</f>
        <v>1898.1833869284187</v>
      </c>
      <c r="D30" s="158">
        <f>'TTM Orignal - With Levers'!C30</f>
        <v>1898.1833869284187</v>
      </c>
      <c r="E30" s="217">
        <v>0</v>
      </c>
      <c r="F30" s="213"/>
      <c r="G30" s="221">
        <f t="shared" ref="G30:G32" si="55">H30+(H30*I30)</f>
        <v>1698.8443792102307</v>
      </c>
      <c r="H30" s="158">
        <f>'TTM Orignal - With Levers'!D30</f>
        <v>1698.8443792102307</v>
      </c>
      <c r="I30" s="217">
        <v>0</v>
      </c>
      <c r="J30" s="213"/>
      <c r="K30" s="221">
        <f t="shared" ref="K30:K32" si="56">L30+(L30*M30)</f>
        <v>1466.7780717174146</v>
      </c>
      <c r="L30" s="158">
        <f>'TTM Orignal - With Levers'!E30</f>
        <v>1466.7780717174146</v>
      </c>
      <c r="M30" s="217">
        <v>0</v>
      </c>
      <c r="N30" s="213"/>
      <c r="O30" s="143">
        <f>(O$7/$BA$7)*$BA30</f>
        <v>1286.777922956961</v>
      </c>
      <c r="P30" s="158">
        <f>'TTM Orignal - With Levers'!F30</f>
        <v>1286.7779229569612</v>
      </c>
      <c r="Q30" s="217">
        <v>0</v>
      </c>
      <c r="R30" s="213"/>
      <c r="S30" s="221">
        <f t="shared" ref="S30:S32" si="57">T30+(T30*U30)</f>
        <v>1010.0834794078341</v>
      </c>
      <c r="T30" s="158">
        <f>'TTM Orignal - With Levers'!G30</f>
        <v>1010.0834794078341</v>
      </c>
      <c r="U30" s="217">
        <v>0</v>
      </c>
      <c r="V30" s="213"/>
      <c r="W30" s="221">
        <f t="shared" ref="W30:W32" si="58">X30+(X30*Y30)</f>
        <v>1169.2571646753427</v>
      </c>
      <c r="X30" s="158">
        <f>'TTM Orignal - With Levers'!H30</f>
        <v>1169.2571646753427</v>
      </c>
      <c r="Y30" s="217">
        <v>0</v>
      </c>
      <c r="Z30" s="213"/>
      <c r="AA30" s="221">
        <f t="shared" ref="AA30:AA32" si="59">AB30+(AB30*AC30)</f>
        <v>1136.5298649007148</v>
      </c>
      <c r="AB30" s="158">
        <f>'TTM Orignal - With Levers'!I30</f>
        <v>1136.5298649007148</v>
      </c>
      <c r="AC30" s="217">
        <v>0</v>
      </c>
      <c r="AD30" s="213"/>
      <c r="AE30" s="221">
        <f t="shared" ref="AE30:AE32" si="60">AF30+(AF30*AG30)</f>
        <v>1318.0176181963786</v>
      </c>
      <c r="AF30" s="158">
        <f>'TTM Orignal - With Levers'!J30</f>
        <v>1318.0176181963786</v>
      </c>
      <c r="AG30" s="217">
        <v>0</v>
      </c>
      <c r="AH30" s="213"/>
      <c r="AI30" s="221">
        <f t="shared" ref="AI30:AI32" si="61">AJ30+(AJ30*AK30)</f>
        <v>1373.0589859991619</v>
      </c>
      <c r="AJ30" s="158">
        <f>'TTM Orignal - With Levers'!K30</f>
        <v>1373.0589859991619</v>
      </c>
      <c r="AK30" s="217">
        <v>0</v>
      </c>
      <c r="AL30" s="213"/>
      <c r="AM30" s="221">
        <f t="shared" ref="AM30:AM32" si="62">AN30+(AN30*AO30)</f>
        <v>2011.2413316044062</v>
      </c>
      <c r="AN30" s="158">
        <f>'TTM Orignal - With Levers'!L30</f>
        <v>2011.2413316044062</v>
      </c>
      <c r="AO30" s="217">
        <v>0</v>
      </c>
      <c r="AP30" s="213"/>
      <c r="AQ30" s="221">
        <f t="shared" ref="AQ30:AQ32" si="63">AR30+(AR30*AS30)</f>
        <v>1898.1833869284187</v>
      </c>
      <c r="AR30" s="158">
        <f>'TTM Orignal - With Levers'!M30</f>
        <v>1898.1833869284187</v>
      </c>
      <c r="AS30" s="217">
        <v>0</v>
      </c>
      <c r="AT30" s="213"/>
      <c r="AU30" s="221">
        <f t="shared" ref="AU30:AU32" si="64">AV30+(AV30*AW30)</f>
        <v>1733.0444074747168</v>
      </c>
      <c r="AV30" s="158">
        <f>'TTM Orignal - With Levers'!N30</f>
        <v>1733.0444074747168</v>
      </c>
      <c r="AW30" s="217">
        <v>0</v>
      </c>
      <c r="AX30" s="213"/>
      <c r="AY30" s="76">
        <v>18000</v>
      </c>
      <c r="AZ30" s="294">
        <f>SUM(C30,G30,K30,O30,S30,W30,AA30,AE30,AI30,AM30,AQ30,AU30)</f>
        <v>17999.999999999996</v>
      </c>
      <c r="BA30" s="291">
        <f>'TTM Orignal - With Levers'!V30</f>
        <v>17999.999999999996</v>
      </c>
      <c r="BB30" s="266"/>
      <c r="BD30" s="208">
        <f>(AZ30+(AZ30*BB30))</f>
        <v>17999.999999999996</v>
      </c>
      <c r="BE30" s="207">
        <f t="shared" ref="BE30:BE32" si="65">AZ30</f>
        <v>17999.999999999996</v>
      </c>
      <c r="BF30" s="209">
        <f t="shared" ref="BF30:BF32" si="66">BD30</f>
        <v>17999.999999999996</v>
      </c>
    </row>
    <row r="31" spans="1:58" x14ac:dyDescent="0.3">
      <c r="A31" s="175">
        <v>5320</v>
      </c>
      <c r="B31" s="168" t="s">
        <v>118</v>
      </c>
      <c r="C31" s="221">
        <f t="shared" si="54"/>
        <v>3492.0690017099187</v>
      </c>
      <c r="D31" s="158">
        <f>'TTM Orignal - With Levers'!C31</f>
        <v>3492.0690017099187</v>
      </c>
      <c r="E31" s="217">
        <v>0</v>
      </c>
      <c r="F31" s="186"/>
      <c r="G31" s="221">
        <f t="shared" si="55"/>
        <v>3901.8214064639719</v>
      </c>
      <c r="H31" s="158">
        <f>'TTM Orignal - With Levers'!D31</f>
        <v>3901.8214064639719</v>
      </c>
      <c r="I31" s="217">
        <v>0</v>
      </c>
      <c r="J31" s="186"/>
      <c r="K31" s="221">
        <f t="shared" si="56"/>
        <v>2645.0435083004199</v>
      </c>
      <c r="L31" s="158">
        <f>'TTM Orignal - With Levers'!E31</f>
        <v>2645.0435083004199</v>
      </c>
      <c r="M31" s="217">
        <v>0</v>
      </c>
      <c r="N31" s="186"/>
      <c r="O31" s="142">
        <v>3015.0438140857964</v>
      </c>
      <c r="P31" s="158">
        <f>'TTM Orignal - With Levers'!F31</f>
        <v>3015.0438140857964</v>
      </c>
      <c r="Q31" s="217">
        <v>0</v>
      </c>
      <c r="R31" s="186"/>
      <c r="S31" s="221">
        <f t="shared" si="57"/>
        <v>3015.0438140857964</v>
      </c>
      <c r="T31" s="158">
        <f>'TTM Orignal - With Levers'!G31</f>
        <v>3015.0438140857964</v>
      </c>
      <c r="U31" s="217">
        <v>0</v>
      </c>
      <c r="V31" s="186"/>
      <c r="W31" s="221">
        <f t="shared" si="58"/>
        <v>2336.2002778514693</v>
      </c>
      <c r="X31" s="158">
        <f>'TTM Orignal - With Levers'!H31</f>
        <v>2336.2002778514693</v>
      </c>
      <c r="Y31" s="217">
        <v>0</v>
      </c>
      <c r="Z31" s="186"/>
      <c r="AA31" s="221">
        <f t="shared" si="59"/>
        <v>2403.4730607215374</v>
      </c>
      <c r="AB31" s="158">
        <f>'TTM Orignal - With Levers'!I31</f>
        <v>2403.4730607215374</v>
      </c>
      <c r="AC31" s="217">
        <v>0</v>
      </c>
      <c r="AD31" s="186"/>
      <c r="AE31" s="221">
        <f t="shared" si="60"/>
        <v>2822.3990267760551</v>
      </c>
      <c r="AF31" s="158">
        <f>'TTM Orignal - With Levers'!J31</f>
        <v>2822.3990267760551</v>
      </c>
      <c r="AG31" s="217">
        <v>0</v>
      </c>
      <c r="AH31" s="186"/>
      <c r="AI31" s="221">
        <f t="shared" si="61"/>
        <v>2709.2584374036674</v>
      </c>
      <c r="AJ31" s="158">
        <f>'TTM Orignal - With Levers'!K31</f>
        <v>2709.2584374036674</v>
      </c>
      <c r="AK31" s="217">
        <v>0</v>
      </c>
      <c r="AL31" s="186"/>
      <c r="AM31" s="221">
        <f t="shared" si="62"/>
        <v>3501.8214064639701</v>
      </c>
      <c r="AN31" s="158">
        <f>'TTM Orignal - With Levers'!L31</f>
        <v>3501.8214064639701</v>
      </c>
      <c r="AO31" s="217">
        <v>0</v>
      </c>
      <c r="AP31" s="186"/>
      <c r="AQ31" s="221">
        <f t="shared" si="63"/>
        <v>4134.218292742391</v>
      </c>
      <c r="AR31" s="158">
        <f>'TTM Orignal - With Levers'!M31</f>
        <v>4134.218292742391</v>
      </c>
      <c r="AS31" s="217">
        <v>0</v>
      </c>
      <c r="AT31" s="186"/>
      <c r="AU31" s="221">
        <f t="shared" si="64"/>
        <v>3023</v>
      </c>
      <c r="AV31" s="158">
        <f>'TTM Orignal - With Levers'!N31</f>
        <v>3023</v>
      </c>
      <c r="AW31" s="217">
        <v>0</v>
      </c>
      <c r="AX31" s="186"/>
      <c r="AY31" s="76">
        <f>SUM(C31:AU31)</f>
        <v>70975.784093209979</v>
      </c>
      <c r="AZ31" s="294">
        <f>SUM(C31,G31,K31,O31,S31,W31,AA31,AE31,AI31,AM31,AQ31,AU31)</f>
        <v>36999.392046604997</v>
      </c>
      <c r="BA31" s="292">
        <f>'TTM Orignal - With Levers'!V31</f>
        <v>36999.392046604997</v>
      </c>
      <c r="BB31" s="267"/>
      <c r="BD31" s="208">
        <f>(AZ31+(AZ31*BB31))</f>
        <v>36999.392046604997</v>
      </c>
      <c r="BE31" s="207">
        <f t="shared" si="65"/>
        <v>36999.392046604997</v>
      </c>
      <c r="BF31" s="209">
        <f t="shared" si="66"/>
        <v>36999.392046604997</v>
      </c>
    </row>
    <row r="32" spans="1:58" x14ac:dyDescent="0.3">
      <c r="A32" s="175">
        <v>5330</v>
      </c>
      <c r="B32" s="145" t="s">
        <v>119</v>
      </c>
      <c r="C32" s="221">
        <f t="shared" si="54"/>
        <v>5140.702430332587</v>
      </c>
      <c r="D32" s="158">
        <f>'TTM Orignal - With Levers'!C32</f>
        <v>5140.702430332587</v>
      </c>
      <c r="E32" s="217">
        <v>0</v>
      </c>
      <c r="F32" s="214"/>
      <c r="G32" s="221">
        <f t="shared" si="55"/>
        <v>4600.8480998744626</v>
      </c>
      <c r="H32" s="158">
        <f>'TTM Orignal - With Levers'!D32</f>
        <v>4600.8480998744626</v>
      </c>
      <c r="I32" s="217">
        <v>0</v>
      </c>
      <c r="J32" s="214"/>
      <c r="K32" s="221">
        <f t="shared" si="56"/>
        <v>3972.3609688933625</v>
      </c>
      <c r="L32" s="158">
        <f>'TTM Orignal - With Levers'!E32</f>
        <v>3972.3609688933625</v>
      </c>
      <c r="M32" s="217">
        <v>0</v>
      </c>
      <c r="N32" s="214"/>
      <c r="O32" s="143">
        <f>(O$7/$BA$7)*$BA32</f>
        <v>3484.8805660169974</v>
      </c>
      <c r="P32" s="158">
        <f>'TTM Orignal - With Levers'!F32</f>
        <v>3484.8805660169969</v>
      </c>
      <c r="Q32" s="217">
        <v>0</v>
      </c>
      <c r="R32" s="214"/>
      <c r="S32" s="221">
        <f t="shared" si="57"/>
        <v>2735.530525231839</v>
      </c>
      <c r="T32" s="158">
        <f>'TTM Orignal - With Levers'!G32</f>
        <v>2735.530525231839</v>
      </c>
      <c r="U32" s="217">
        <v>0</v>
      </c>
      <c r="V32" s="214"/>
      <c r="W32" s="221">
        <f t="shared" si="58"/>
        <v>3166.6082368663115</v>
      </c>
      <c r="X32" s="158">
        <f>'TTM Orignal - With Levers'!H32</f>
        <v>3166.6082368663115</v>
      </c>
      <c r="Y32" s="217">
        <v>0</v>
      </c>
      <c r="Z32" s="214"/>
      <c r="AA32" s="221">
        <f t="shared" si="59"/>
        <v>3077.9754363433358</v>
      </c>
      <c r="AB32" s="158">
        <f>'TTM Orignal - With Levers'!I32</f>
        <v>3077.9754363433358</v>
      </c>
      <c r="AC32" s="217">
        <v>0</v>
      </c>
      <c r="AD32" s="214"/>
      <c r="AE32" s="221">
        <f t="shared" si="60"/>
        <v>3569.484602879837</v>
      </c>
      <c r="AF32" s="158">
        <f>'TTM Orignal - With Levers'!J32</f>
        <v>3569.484602879837</v>
      </c>
      <c r="AG32" s="217">
        <v>0</v>
      </c>
      <c r="AH32" s="214"/>
      <c r="AI32" s="221">
        <f t="shared" si="61"/>
        <v>3718.5488583048414</v>
      </c>
      <c r="AJ32" s="158">
        <f>'TTM Orignal - With Levers'!K32</f>
        <v>3718.5488583048414</v>
      </c>
      <c r="AK32" s="217">
        <v>0</v>
      </c>
      <c r="AL32" s="214"/>
      <c r="AM32" s="221">
        <f t="shared" si="62"/>
        <v>5446.888468502867</v>
      </c>
      <c r="AN32" s="158">
        <f>'TTM Orignal - With Levers'!L32</f>
        <v>5446.888468502867</v>
      </c>
      <c r="AO32" s="217">
        <v>0</v>
      </c>
      <c r="AP32" s="214"/>
      <c r="AQ32" s="221">
        <f t="shared" si="63"/>
        <v>5140.702430332587</v>
      </c>
      <c r="AR32" s="158">
        <f>'TTM Orignal - With Levers'!M32</f>
        <v>5140.702430332587</v>
      </c>
      <c r="AS32" s="217">
        <v>0</v>
      </c>
      <c r="AT32" s="214"/>
      <c r="AU32" s="221">
        <f t="shared" si="64"/>
        <v>4693.4693764209715</v>
      </c>
      <c r="AV32" s="158">
        <f>'TTM Orignal - With Levers'!N32</f>
        <v>4693.4693764209715</v>
      </c>
      <c r="AW32" s="217">
        <v>0</v>
      </c>
      <c r="AX32" s="214"/>
      <c r="AY32" s="76">
        <v>48500</v>
      </c>
      <c r="AZ32" s="294">
        <f>SUM(C32,G32,K32,O32,S32,W32,AA32,AE32,AI32,AM32,AQ32,AU32)</f>
        <v>48748.000000000007</v>
      </c>
      <c r="BA32" s="292">
        <f>'TTM Orignal - With Levers'!V32</f>
        <v>48748.000000000007</v>
      </c>
      <c r="BB32" s="266"/>
      <c r="BD32" s="208">
        <f>(AZ32+(AZ32*BB32))</f>
        <v>48748.000000000007</v>
      </c>
      <c r="BE32" s="207">
        <f t="shared" si="65"/>
        <v>48748.000000000007</v>
      </c>
      <c r="BF32" s="209">
        <f t="shared" si="66"/>
        <v>48748.000000000007</v>
      </c>
    </row>
    <row r="33" spans="1:58" x14ac:dyDescent="0.3">
      <c r="A33" s="175"/>
      <c r="B33" s="101" t="s">
        <v>120</v>
      </c>
      <c r="C33" s="66">
        <f t="shared" ref="C33:AU33" si="67">SUM(C30:C32)</f>
        <v>10530.954818970924</v>
      </c>
      <c r="D33" s="66"/>
      <c r="E33" s="66"/>
      <c r="F33" s="66"/>
      <c r="G33" s="67">
        <f t="shared" si="67"/>
        <v>10201.513885548666</v>
      </c>
      <c r="H33" s="66"/>
      <c r="I33" s="66"/>
      <c r="J33" s="66"/>
      <c r="K33" s="67">
        <f t="shared" si="67"/>
        <v>8084.182548911198</v>
      </c>
      <c r="L33" s="67"/>
      <c r="M33" s="66"/>
      <c r="N33" s="66"/>
      <c r="O33" s="67">
        <f t="shared" si="67"/>
        <v>7786.7023030597547</v>
      </c>
      <c r="P33" s="67"/>
      <c r="Q33" s="66"/>
      <c r="R33" s="66"/>
      <c r="S33" s="67">
        <f t="shared" si="67"/>
        <v>6760.657818725469</v>
      </c>
      <c r="T33" s="67"/>
      <c r="U33" s="66"/>
      <c r="V33" s="66"/>
      <c r="W33" s="67">
        <f t="shared" si="67"/>
        <v>6672.065679393123</v>
      </c>
      <c r="X33" s="67"/>
      <c r="Y33" s="66"/>
      <c r="Z33" s="66"/>
      <c r="AA33" s="67">
        <f t="shared" si="67"/>
        <v>6617.9783619655882</v>
      </c>
      <c r="AB33" s="67"/>
      <c r="AC33" s="66"/>
      <c r="AD33" s="66"/>
      <c r="AE33" s="67">
        <f t="shared" si="67"/>
        <v>7709.9012478522709</v>
      </c>
      <c r="AF33" s="67"/>
      <c r="AG33" s="66"/>
      <c r="AH33" s="66"/>
      <c r="AI33" s="67">
        <f t="shared" si="67"/>
        <v>7800.8662817076711</v>
      </c>
      <c r="AJ33" s="67"/>
      <c r="AK33" s="66"/>
      <c r="AL33" s="66"/>
      <c r="AM33" s="67">
        <f t="shared" si="67"/>
        <v>10959.951206571244</v>
      </c>
      <c r="AN33" s="67"/>
      <c r="AO33" s="66"/>
      <c r="AP33" s="66"/>
      <c r="AQ33" s="67">
        <f t="shared" si="67"/>
        <v>11173.104110003396</v>
      </c>
      <c r="AR33" s="67"/>
      <c r="AS33" s="66"/>
      <c r="AT33" s="66"/>
      <c r="AU33" s="67">
        <f t="shared" si="67"/>
        <v>9449.5137838956871</v>
      </c>
      <c r="AV33" s="67"/>
      <c r="AW33" s="66"/>
      <c r="AX33" s="66"/>
      <c r="AY33" s="163"/>
      <c r="AZ33" s="258">
        <f>SUM(AZ30:AZ32)</f>
        <v>103747.392046605</v>
      </c>
      <c r="BA33" s="295">
        <f>SUM(BA30:BA32)</f>
        <v>103747.392046605</v>
      </c>
      <c r="BB33" s="148"/>
      <c r="BD33" s="69">
        <f>SUM(BD30:BD32)</f>
        <v>103747.392046605</v>
      </c>
      <c r="BE33" s="69">
        <f t="shared" ref="BE33:BF33" si="68">SUM(BE30:BE32)</f>
        <v>103747.392046605</v>
      </c>
      <c r="BF33" s="69">
        <f t="shared" si="68"/>
        <v>103747.392046605</v>
      </c>
    </row>
    <row r="34" spans="1:58" x14ac:dyDescent="0.3">
      <c r="A34" s="175"/>
      <c r="B34" s="129" t="s">
        <v>69</v>
      </c>
      <c r="C34" s="83">
        <f t="shared" ref="C34:AZ34" si="69">SUM(C7-C33)</f>
        <v>953.04518102907605</v>
      </c>
      <c r="D34" s="83"/>
      <c r="E34" s="83"/>
      <c r="F34" s="83"/>
      <c r="G34" s="83">
        <f t="shared" si="69"/>
        <v>76.486114451334288</v>
      </c>
      <c r="H34" s="83"/>
      <c r="I34" s="83"/>
      <c r="J34" s="83"/>
      <c r="K34" s="83">
        <f t="shared" si="69"/>
        <v>789.81745108880204</v>
      </c>
      <c r="L34" s="83"/>
      <c r="M34" s="83"/>
      <c r="N34" s="83"/>
      <c r="O34" s="83">
        <f t="shared" si="69"/>
        <v>-1.7023030597538309</v>
      </c>
      <c r="P34" s="83"/>
      <c r="Q34" s="83"/>
      <c r="R34" s="83"/>
      <c r="S34" s="83">
        <f t="shared" si="69"/>
        <v>-649.65781872546904</v>
      </c>
      <c r="T34" s="83"/>
      <c r="U34" s="83"/>
      <c r="V34" s="83"/>
      <c r="W34" s="83">
        <f t="shared" si="69"/>
        <v>401.93432060687701</v>
      </c>
      <c r="X34" s="83"/>
      <c r="Y34" s="83"/>
      <c r="Z34" s="83"/>
      <c r="AA34" s="83">
        <f t="shared" si="69"/>
        <v>258.02163803441181</v>
      </c>
      <c r="AB34" s="83"/>
      <c r="AC34" s="83"/>
      <c r="AD34" s="83"/>
      <c r="AE34" s="83">
        <f t="shared" si="69"/>
        <v>264.0987521477291</v>
      </c>
      <c r="AF34" s="83"/>
      <c r="AG34" s="83"/>
      <c r="AH34" s="83"/>
      <c r="AI34" s="83">
        <f t="shared" si="69"/>
        <v>506.13371829232892</v>
      </c>
      <c r="AJ34" s="83"/>
      <c r="AK34" s="83"/>
      <c r="AL34" s="83"/>
      <c r="AM34" s="83">
        <f t="shared" si="69"/>
        <v>1208.0487934287557</v>
      </c>
      <c r="AN34" s="83"/>
      <c r="AO34" s="83"/>
      <c r="AP34" s="83"/>
      <c r="AQ34" s="83">
        <f t="shared" si="69"/>
        <v>310.89588999660373</v>
      </c>
      <c r="AR34" s="83"/>
      <c r="AS34" s="83"/>
      <c r="AT34" s="83"/>
      <c r="AU34" s="83">
        <f t="shared" si="69"/>
        <v>1035.3962161043128</v>
      </c>
      <c r="AV34" s="83"/>
      <c r="AW34" s="83"/>
      <c r="AX34" s="83"/>
      <c r="AY34" s="259">
        <f t="shared" si="69"/>
        <v>0</v>
      </c>
      <c r="AZ34" s="259">
        <f t="shared" si="69"/>
        <v>5152.5179533949995</v>
      </c>
      <c r="BA34" s="296">
        <f>SUM(BA7-BA33)</f>
        <v>5152.5179533949995</v>
      </c>
      <c r="BB34" s="149"/>
      <c r="BD34" s="83">
        <f t="shared" ref="BD34:BF34" si="70">SUM(BD7-BD33)</f>
        <v>5152.5179533949995</v>
      </c>
      <c r="BE34" s="83">
        <f t="shared" si="70"/>
        <v>5152.5179533949995</v>
      </c>
      <c r="BF34" s="83">
        <f t="shared" si="70"/>
        <v>5152.5179533949995</v>
      </c>
    </row>
    <row r="35" spans="1:58" x14ac:dyDescent="0.3">
      <c r="A35" s="175"/>
      <c r="B35" s="130" t="s">
        <v>70</v>
      </c>
      <c r="C35" s="128">
        <f t="shared" ref="C35:AY35" si="71">SUM(C7-C33)/C7</f>
        <v>8.2988956899083602E-2</v>
      </c>
      <c r="D35" s="128"/>
      <c r="E35" s="128"/>
      <c r="F35" s="128"/>
      <c r="G35" s="128">
        <f t="shared" si="71"/>
        <v>7.4417313145878853E-3</v>
      </c>
      <c r="H35" s="128"/>
      <c r="I35" s="128"/>
      <c r="J35" s="128"/>
      <c r="K35" s="128">
        <f t="shared" si="71"/>
        <v>8.9003544183998431E-2</v>
      </c>
      <c r="L35" s="128"/>
      <c r="M35" s="128"/>
      <c r="N35" s="128"/>
      <c r="O35" s="128">
        <f t="shared" si="71"/>
        <v>-2.1866449065559803E-4</v>
      </c>
      <c r="P35" s="128"/>
      <c r="Q35" s="128"/>
      <c r="R35" s="128"/>
      <c r="S35" s="128">
        <f t="shared" si="71"/>
        <v>-0.10630957596554885</v>
      </c>
      <c r="T35" s="128"/>
      <c r="U35" s="128"/>
      <c r="V35" s="128"/>
      <c r="W35" s="128">
        <f t="shared" si="71"/>
        <v>5.6818535567836725E-2</v>
      </c>
      <c r="X35" s="128"/>
      <c r="Y35" s="128"/>
      <c r="Z35" s="128"/>
      <c r="AA35" s="128">
        <f t="shared" si="71"/>
        <v>3.7524961901456051E-2</v>
      </c>
      <c r="AB35" s="128"/>
      <c r="AC35" s="128"/>
      <c r="AD35" s="128"/>
      <c r="AE35" s="128">
        <f t="shared" si="71"/>
        <v>3.3119983966356799E-2</v>
      </c>
      <c r="AF35" s="128"/>
      <c r="AG35" s="128"/>
      <c r="AH35" s="128"/>
      <c r="AI35" s="128">
        <f t="shared" si="71"/>
        <v>6.0928580509489461E-2</v>
      </c>
      <c r="AJ35" s="128"/>
      <c r="AK35" s="128"/>
      <c r="AL35" s="128"/>
      <c r="AM35" s="128">
        <f t="shared" si="71"/>
        <v>9.9280801563835938E-2</v>
      </c>
      <c r="AN35" s="128"/>
      <c r="AO35" s="128"/>
      <c r="AP35" s="128"/>
      <c r="AQ35" s="128">
        <f t="shared" si="71"/>
        <v>2.7072090734639825E-2</v>
      </c>
      <c r="AR35" s="128"/>
      <c r="AS35" s="128"/>
      <c r="AT35" s="128"/>
      <c r="AU35" s="128">
        <f t="shared" si="71"/>
        <v>9.8751082851861655E-2</v>
      </c>
      <c r="AV35" s="128"/>
      <c r="AW35" s="128"/>
      <c r="AX35" s="128"/>
      <c r="AY35" s="262" t="e">
        <f t="shared" si="71"/>
        <v>#DIV/0!</v>
      </c>
      <c r="AZ35" s="306">
        <f>SUM(AZ7-AZ33)/AZ7</f>
        <v>4.7314253550760507E-2</v>
      </c>
      <c r="BA35" s="297">
        <f>SUM(BA7-BA33)/BA7</f>
        <v>4.7314253550760507E-2</v>
      </c>
      <c r="BB35" s="149"/>
      <c r="BD35" s="128">
        <f>SUM(BD7-BD33)/BD7</f>
        <v>4.7314253550760507E-2</v>
      </c>
      <c r="BE35" s="128">
        <f t="shared" ref="BE35:BF35" si="72">SUM(BE7-BE33)/BE7</f>
        <v>4.7314253550760507E-2</v>
      </c>
      <c r="BF35" s="128">
        <f t="shared" si="72"/>
        <v>4.7314253550760507E-2</v>
      </c>
    </row>
    <row r="36" spans="1:58" x14ac:dyDescent="0.3">
      <c r="A36" s="175"/>
      <c r="B36" s="47"/>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4"/>
      <c r="BA36" s="24"/>
      <c r="BB36" s="146"/>
    </row>
    <row r="37" spans="1:58" x14ac:dyDescent="0.3">
      <c r="A37" s="175"/>
      <c r="B37" s="101" t="s">
        <v>121</v>
      </c>
      <c r="C37" s="9"/>
      <c r="D37" s="9"/>
      <c r="E37" s="9"/>
      <c r="F37" s="9"/>
      <c r="G37" s="5"/>
      <c r="H37" s="9"/>
      <c r="I37" s="9"/>
      <c r="J37" s="9"/>
      <c r="K37" s="5"/>
      <c r="L37" s="5"/>
      <c r="M37" s="9"/>
      <c r="N37" s="9"/>
      <c r="O37" s="5"/>
      <c r="P37" s="5"/>
      <c r="Q37" s="9"/>
      <c r="R37" s="9"/>
      <c r="S37" s="5"/>
      <c r="T37" s="5"/>
      <c r="U37" s="9"/>
      <c r="V37" s="9"/>
      <c r="W37" s="6"/>
      <c r="X37" s="6"/>
      <c r="Y37" s="9"/>
      <c r="Z37" s="9"/>
      <c r="AA37" s="6"/>
      <c r="AB37" s="6"/>
      <c r="AC37" s="9"/>
      <c r="AD37" s="9"/>
      <c r="AE37" s="6"/>
      <c r="AF37" s="6"/>
      <c r="AG37" s="9"/>
      <c r="AH37" s="9"/>
      <c r="AI37" s="6"/>
      <c r="AJ37" s="6"/>
      <c r="AK37" s="9"/>
      <c r="AL37" s="9"/>
      <c r="AM37" s="6"/>
      <c r="AN37" s="6"/>
      <c r="AO37" s="9"/>
      <c r="AP37" s="9"/>
      <c r="AQ37" s="6"/>
      <c r="AR37" s="6"/>
      <c r="AS37" s="9"/>
      <c r="AT37" s="9"/>
      <c r="AU37" s="6"/>
      <c r="AV37" s="6"/>
      <c r="AW37" s="9"/>
      <c r="AX37" s="9"/>
      <c r="AY37" s="7"/>
      <c r="AZ37" s="8"/>
      <c r="BA37" s="8"/>
      <c r="BB37" s="195"/>
    </row>
    <row r="38" spans="1:58" x14ac:dyDescent="0.3">
      <c r="A38" s="175">
        <v>5410</v>
      </c>
      <c r="B38" s="126" t="s">
        <v>118</v>
      </c>
      <c r="C38" s="221">
        <f t="shared" ref="C38:C43" si="73">D38+(D38*E38)</f>
        <v>2599.8147337782329</v>
      </c>
      <c r="D38" s="158">
        <f>'TTM Orignal - With Levers'!C38</f>
        <v>2599.8147337782329</v>
      </c>
      <c r="E38" s="218">
        <v>0</v>
      </c>
      <c r="F38" s="214"/>
      <c r="G38" s="221">
        <f t="shared" ref="G38:G43" si="74">H38+(H38*I38)</f>
        <v>2692.2477582503134</v>
      </c>
      <c r="H38" s="158">
        <f>'TTM Orignal - With Levers'!D38</f>
        <v>2692.2477582503134</v>
      </c>
      <c r="I38" s="218">
        <v>0</v>
      </c>
      <c r="J38" s="214"/>
      <c r="K38" s="256">
        <f t="shared" ref="K38:K43" si="75">L38+(L38*M38)</f>
        <v>2583.2039203449203</v>
      </c>
      <c r="L38" s="188">
        <f>'TTM Orignal - With Levers'!E38</f>
        <v>2391.855481800852</v>
      </c>
      <c r="M38" s="255">
        <v>0.08</v>
      </c>
      <c r="N38" s="257"/>
      <c r="O38" s="257">
        <v>2497.3634386344556</v>
      </c>
      <c r="P38" s="188">
        <f>'TTM Orignal - With Levers'!F38</f>
        <v>2497.3634386344556</v>
      </c>
      <c r="Q38" s="255">
        <v>0.1</v>
      </c>
      <c r="R38" s="257"/>
      <c r="S38" s="256">
        <f t="shared" ref="S38:S43" si="76">T38+(T38*U38)</f>
        <v>2553.0841144225196</v>
      </c>
      <c r="T38" s="188">
        <f>'TTM Orignal - With Levers'!G38</f>
        <v>2320.985558565927</v>
      </c>
      <c r="U38" s="255">
        <v>0.1</v>
      </c>
      <c r="V38" s="257"/>
      <c r="W38" s="256">
        <f t="shared" ref="W38:W43" si="77">X38+(X38*Y38)</f>
        <v>2467.2534969099765</v>
      </c>
      <c r="X38" s="188">
        <f>'TTM Orignal - With Levers'!H38</f>
        <v>2222.7508981170959</v>
      </c>
      <c r="Y38" s="255">
        <v>0.11</v>
      </c>
      <c r="Z38" s="257"/>
      <c r="AA38" s="256">
        <f t="shared" ref="AA38:AA43" si="78">AB38+(AB38*AC38)</f>
        <v>2626.6243840627876</v>
      </c>
      <c r="AB38" s="188">
        <f>'TTM Orignal - With Levers'!I38</f>
        <v>2432.0596148729514</v>
      </c>
      <c r="AC38" s="255">
        <v>0.08</v>
      </c>
      <c r="AD38" s="257"/>
      <c r="AE38" s="256">
        <f t="shared" ref="AE38:AE43" si="79">AF38+(AF38*AG38)</f>
        <v>2753.1526810242194</v>
      </c>
      <c r="AF38" s="188">
        <f>'TTM Orignal - With Levers'!J38</f>
        <v>2373.4074836415684</v>
      </c>
      <c r="AG38" s="255">
        <v>0.16</v>
      </c>
      <c r="AH38" s="257"/>
      <c r="AI38" s="256">
        <f t="shared" ref="AI38:AI43" si="80">AJ38+(AJ38*AK38)</f>
        <v>3140.5873128935405</v>
      </c>
      <c r="AJ38" s="188">
        <f>'TTM Orignal - With Levers'!K38</f>
        <v>2661.5146719436784</v>
      </c>
      <c r="AK38" s="255">
        <v>0.18</v>
      </c>
      <c r="AL38" s="257"/>
      <c r="AM38" s="256">
        <f t="shared" ref="AM38:AM43" si="81">AN38+(AN38*AO38)</f>
        <v>3067.8683041408972</v>
      </c>
      <c r="AN38" s="188">
        <f>'TTM Orignal - With Levers'!L38</f>
        <v>2514.6461509351616</v>
      </c>
      <c r="AO38" s="255">
        <v>0.22</v>
      </c>
      <c r="AP38" s="257"/>
      <c r="AQ38" s="256">
        <f t="shared" ref="AQ38:AQ43" si="82">AR38+(AR38*AS38)</f>
        <v>3324.5940255002897</v>
      </c>
      <c r="AR38" s="188">
        <f>'TTM Orignal - With Levers'!M38</f>
        <v>2638.5666869049919</v>
      </c>
      <c r="AS38" s="255">
        <v>0.26</v>
      </c>
      <c r="AT38" s="257"/>
      <c r="AU38" s="256">
        <f t="shared" ref="AU38:AU43" si="83">AV38+(AV38*AW38)</f>
        <v>3451.3402911296143</v>
      </c>
      <c r="AV38" s="158">
        <f>'TTM Orignal - With Levers'!N38</f>
        <v>2654.8771470227803</v>
      </c>
      <c r="AW38" s="248">
        <v>0.3</v>
      </c>
      <c r="AX38" s="214"/>
      <c r="AY38" s="76"/>
      <c r="AZ38" s="294">
        <f t="shared" ref="AZ38:AZ43" si="84">SUM(C38,G38,K38,O38,S38,W38,AA38,AE38,AI38,AM38,AQ38,AU38)</f>
        <v>33757.134461091766</v>
      </c>
      <c r="BA38" s="291">
        <f>'TTM Orignal - With Levers'!V38</f>
        <v>30000.089624468008</v>
      </c>
      <c r="BB38" s="266"/>
      <c r="BD38" s="208">
        <f t="shared" ref="BD38:BD43" si="85">(AZ38+(AZ38*BB38))</f>
        <v>33757.134461091766</v>
      </c>
      <c r="BE38" s="207">
        <f t="shared" ref="BE38:BE43" si="86">AZ38</f>
        <v>33757.134461091766</v>
      </c>
      <c r="BF38" s="209">
        <f t="shared" ref="BF38:BF43" si="87">BD38</f>
        <v>33757.134461091766</v>
      </c>
    </row>
    <row r="39" spans="1:58" x14ac:dyDescent="0.3">
      <c r="A39" s="175">
        <v>5420</v>
      </c>
      <c r="B39" s="126" t="s">
        <v>119</v>
      </c>
      <c r="C39" s="221">
        <f t="shared" si="73"/>
        <v>2692.2477582503134</v>
      </c>
      <c r="D39" s="158">
        <f>'TTM Orignal - With Levers'!C39</f>
        <v>2692.2477582503134</v>
      </c>
      <c r="E39" s="218">
        <v>0</v>
      </c>
      <c r="F39" s="214"/>
      <c r="G39" s="221">
        <f t="shared" si="74"/>
        <v>2599.8147337782329</v>
      </c>
      <c r="H39" s="158">
        <f>'TTM Orignal - With Levers'!D39</f>
        <v>2599.8147337782329</v>
      </c>
      <c r="I39" s="218">
        <v>0</v>
      </c>
      <c r="J39" s="214"/>
      <c r="K39" s="256">
        <f t="shared" si="75"/>
        <v>2697.152513725212</v>
      </c>
      <c r="L39" s="188">
        <f>'TTM Orignal - With Levers'!E39</f>
        <v>2497.3634386344556</v>
      </c>
      <c r="M39" s="255">
        <v>0.08</v>
      </c>
      <c r="N39" s="257"/>
      <c r="O39" s="257">
        <f>(O$8/$BA$8)*$BA39</f>
        <v>2631.0410299809369</v>
      </c>
      <c r="P39" s="188">
        <f>'TTM Orignal - With Levers'!F39</f>
        <v>2391.855481800852</v>
      </c>
      <c r="Q39" s="255">
        <v>0.1</v>
      </c>
      <c r="R39" s="257"/>
      <c r="S39" s="256">
        <f t="shared" si="76"/>
        <v>2445.0259879288055</v>
      </c>
      <c r="T39" s="188">
        <f>'TTM Orignal - With Levers'!G39</f>
        <v>2222.7508981170959</v>
      </c>
      <c r="U39" s="255">
        <v>0.1</v>
      </c>
      <c r="V39" s="257"/>
      <c r="W39" s="256">
        <f t="shared" si="77"/>
        <v>2576.2939700081788</v>
      </c>
      <c r="X39" s="188">
        <f>'TTM Orignal - With Levers'!H39</f>
        <v>2320.985558565927</v>
      </c>
      <c r="Y39" s="255">
        <v>0.11</v>
      </c>
      <c r="Z39" s="257"/>
      <c r="AA39" s="256">
        <f t="shared" si="78"/>
        <v>2563.2800823328939</v>
      </c>
      <c r="AB39" s="188">
        <f>'TTM Orignal - With Levers'!I39</f>
        <v>2373.4074836415684</v>
      </c>
      <c r="AC39" s="255">
        <v>0.08</v>
      </c>
      <c r="AD39" s="257"/>
      <c r="AE39" s="256">
        <f t="shared" si="79"/>
        <v>2821.1891532526238</v>
      </c>
      <c r="AF39" s="188">
        <f>'TTM Orignal - With Levers'!J39</f>
        <v>2432.0596148729514</v>
      </c>
      <c r="AG39" s="255">
        <v>0.16</v>
      </c>
      <c r="AH39" s="257"/>
      <c r="AI39" s="256">
        <f t="shared" si="80"/>
        <v>2967.2824581034906</v>
      </c>
      <c r="AJ39" s="188">
        <f>'TTM Orignal - With Levers'!K39</f>
        <v>2514.6461509351616</v>
      </c>
      <c r="AK39" s="255">
        <v>0.18</v>
      </c>
      <c r="AL39" s="257"/>
      <c r="AM39" s="256">
        <f t="shared" si="81"/>
        <v>3247.0478997712876</v>
      </c>
      <c r="AN39" s="188">
        <f>'TTM Orignal - With Levers'!L39</f>
        <v>2661.5146719436784</v>
      </c>
      <c r="AO39" s="255">
        <v>0.22</v>
      </c>
      <c r="AP39" s="257"/>
      <c r="AQ39" s="256">
        <f t="shared" si="82"/>
        <v>3345.145205248703</v>
      </c>
      <c r="AR39" s="188">
        <f>'TTM Orignal - With Levers'!M39</f>
        <v>2654.8771470227803</v>
      </c>
      <c r="AS39" s="255">
        <v>0.26</v>
      </c>
      <c r="AT39" s="257"/>
      <c r="AU39" s="256">
        <f t="shared" si="83"/>
        <v>3430.1366929764895</v>
      </c>
      <c r="AV39" s="158">
        <f>'TTM Orignal - With Levers'!N39</f>
        <v>2638.5666869049919</v>
      </c>
      <c r="AW39" s="248">
        <v>0.3</v>
      </c>
      <c r="AX39" s="214"/>
      <c r="AY39" s="76">
        <v>30000</v>
      </c>
      <c r="AZ39" s="294">
        <f t="shared" si="84"/>
        <v>34015.657485357173</v>
      </c>
      <c r="BA39" s="292">
        <f>'TTM Orignal - With Levers'!V39</f>
        <v>30000.089624468008</v>
      </c>
      <c r="BB39" s="266"/>
      <c r="BD39" s="208">
        <f t="shared" si="85"/>
        <v>34015.657485357173</v>
      </c>
      <c r="BE39" s="207">
        <f t="shared" si="86"/>
        <v>34015.657485357173</v>
      </c>
      <c r="BF39" s="209">
        <f t="shared" si="87"/>
        <v>34015.657485357173</v>
      </c>
    </row>
    <row r="40" spans="1:58" x14ac:dyDescent="0.3">
      <c r="A40" s="175">
        <v>5430</v>
      </c>
      <c r="B40" s="126" t="s">
        <v>85</v>
      </c>
      <c r="C40" s="221">
        <f t="shared" si="73"/>
        <v>753.82937231008771</v>
      </c>
      <c r="D40" s="158">
        <f>'TTM Orignal - With Levers'!C40</f>
        <v>753.82937231008771</v>
      </c>
      <c r="E40" s="218">
        <v>0</v>
      </c>
      <c r="F40" s="214"/>
      <c r="G40" s="221">
        <f t="shared" si="74"/>
        <v>727.94812545790523</v>
      </c>
      <c r="H40" s="158">
        <f>'TTM Orignal - With Levers'!D40</f>
        <v>727.94812545790523</v>
      </c>
      <c r="I40" s="218">
        <v>0</v>
      </c>
      <c r="J40" s="214"/>
      <c r="K40" s="221">
        <f t="shared" si="75"/>
        <v>699.26176281764754</v>
      </c>
      <c r="L40" s="158">
        <f>'TTM Orignal - With Levers'!E40</f>
        <v>699.26176281764754</v>
      </c>
      <c r="M40" s="218">
        <v>0</v>
      </c>
      <c r="N40" s="214"/>
      <c r="O40" s="143">
        <f>(O$8/$BA$8)*$BA40</f>
        <v>736.69148839466231</v>
      </c>
      <c r="P40" s="158">
        <f>'TTM Orignal - With Levers'!F40</f>
        <v>669.71953490423857</v>
      </c>
      <c r="Q40" s="218">
        <v>0</v>
      </c>
      <c r="R40" s="214"/>
      <c r="S40" s="221">
        <f t="shared" si="76"/>
        <v>622.37025147278678</v>
      </c>
      <c r="T40" s="158">
        <f>'TTM Orignal - With Levers'!G40</f>
        <v>622.37025147278678</v>
      </c>
      <c r="U40" s="218">
        <v>0</v>
      </c>
      <c r="V40" s="214"/>
      <c r="W40" s="221">
        <f t="shared" si="77"/>
        <v>649.87595639845949</v>
      </c>
      <c r="X40" s="158">
        <f>'TTM Orignal - With Levers'!H40</f>
        <v>649.87595639845949</v>
      </c>
      <c r="Y40" s="218">
        <v>0</v>
      </c>
      <c r="Z40" s="214"/>
      <c r="AA40" s="221">
        <f t="shared" si="78"/>
        <v>664.55409541963911</v>
      </c>
      <c r="AB40" s="158">
        <f>'TTM Orignal - With Levers'!I40</f>
        <v>664.55409541963911</v>
      </c>
      <c r="AC40" s="218">
        <v>0</v>
      </c>
      <c r="AD40" s="214"/>
      <c r="AE40" s="221">
        <f t="shared" si="79"/>
        <v>680.97669216442637</v>
      </c>
      <c r="AF40" s="158">
        <f>'TTM Orignal - With Levers'!J40</f>
        <v>680.97669216442637</v>
      </c>
      <c r="AG40" s="218">
        <v>0</v>
      </c>
      <c r="AH40" s="214"/>
      <c r="AI40" s="221">
        <f t="shared" si="80"/>
        <v>704.1009222618452</v>
      </c>
      <c r="AJ40" s="158">
        <f>'TTM Orignal - With Levers'!K40</f>
        <v>704.1009222618452</v>
      </c>
      <c r="AK40" s="218">
        <v>0</v>
      </c>
      <c r="AL40" s="214"/>
      <c r="AM40" s="221">
        <f t="shared" si="81"/>
        <v>745.22410814422994</v>
      </c>
      <c r="AN40" s="158">
        <f>'TTM Orignal - With Levers'!L40</f>
        <v>745.22410814422994</v>
      </c>
      <c r="AO40" s="218">
        <v>0</v>
      </c>
      <c r="AP40" s="214"/>
      <c r="AQ40" s="221">
        <f t="shared" si="82"/>
        <v>743.3656011663785</v>
      </c>
      <c r="AR40" s="158">
        <f>'TTM Orignal - With Levers'!M40</f>
        <v>743.3656011663785</v>
      </c>
      <c r="AS40" s="218">
        <v>0</v>
      </c>
      <c r="AT40" s="214"/>
      <c r="AU40" s="221">
        <f t="shared" si="83"/>
        <v>738.79867233339769</v>
      </c>
      <c r="AV40" s="158">
        <f>'TTM Orignal - With Levers'!N40</f>
        <v>738.79867233339769</v>
      </c>
      <c r="AW40" s="218">
        <v>0</v>
      </c>
      <c r="AX40" s="214"/>
      <c r="AY40" s="76">
        <f>SUM(C40:AU40)</f>
        <v>16128.223470859108</v>
      </c>
      <c r="AZ40" s="294">
        <f t="shared" si="84"/>
        <v>8466.9970483414672</v>
      </c>
      <c r="BA40" s="292">
        <f>'TTM Orignal - With Levers'!V40</f>
        <v>8400.025094851042</v>
      </c>
      <c r="BB40" s="266"/>
      <c r="BD40" s="208">
        <f t="shared" si="85"/>
        <v>8466.9970483414672</v>
      </c>
      <c r="BE40" s="207">
        <f t="shared" si="86"/>
        <v>8466.9970483414672</v>
      </c>
      <c r="BF40" s="209">
        <f t="shared" si="87"/>
        <v>8466.9970483414672</v>
      </c>
    </row>
    <row r="41" spans="1:58" x14ac:dyDescent="0.3">
      <c r="A41" s="175">
        <v>5440</v>
      </c>
      <c r="B41" s="126" t="s">
        <v>86</v>
      </c>
      <c r="C41" s="221">
        <f t="shared" si="73"/>
        <v>188.45734307752193</v>
      </c>
      <c r="D41" s="158">
        <f>'TTM Orignal - With Levers'!C41</f>
        <v>188.45734307752193</v>
      </c>
      <c r="E41" s="218">
        <v>0</v>
      </c>
      <c r="F41" s="214"/>
      <c r="G41" s="221">
        <f t="shared" si="74"/>
        <v>181.98703136447631</v>
      </c>
      <c r="H41" s="158">
        <f>'TTM Orignal - With Levers'!D41</f>
        <v>181.98703136447631</v>
      </c>
      <c r="I41" s="218">
        <v>0</v>
      </c>
      <c r="J41" s="214"/>
      <c r="K41" s="221">
        <f t="shared" si="75"/>
        <v>174.81544070441188</v>
      </c>
      <c r="L41" s="158">
        <f>'TTM Orignal - With Levers'!E41</f>
        <v>174.81544070441188</v>
      </c>
      <c r="M41" s="218">
        <v>0</v>
      </c>
      <c r="N41" s="214"/>
      <c r="O41" s="143">
        <f>(O$8/$BA$8)*$BA41</f>
        <v>184.17287209866558</v>
      </c>
      <c r="P41" s="158">
        <f>'TTM Orignal - With Levers'!F41</f>
        <v>167.42988372605964</v>
      </c>
      <c r="Q41" s="218">
        <v>0</v>
      </c>
      <c r="R41" s="214"/>
      <c r="S41" s="221">
        <f t="shared" si="76"/>
        <v>155.59256286819669</v>
      </c>
      <c r="T41" s="158">
        <f>'TTM Orignal - With Levers'!G41</f>
        <v>155.59256286819669</v>
      </c>
      <c r="U41" s="218">
        <v>0</v>
      </c>
      <c r="V41" s="214"/>
      <c r="W41" s="221">
        <f t="shared" si="77"/>
        <v>162.46898909961487</v>
      </c>
      <c r="X41" s="158">
        <f>'TTM Orignal - With Levers'!H41</f>
        <v>162.46898909961487</v>
      </c>
      <c r="Y41" s="218">
        <v>0</v>
      </c>
      <c r="Z41" s="214"/>
      <c r="AA41" s="221">
        <f t="shared" si="78"/>
        <v>166.13852385490978</v>
      </c>
      <c r="AB41" s="158">
        <f>'TTM Orignal - With Levers'!I41</f>
        <v>166.13852385490978</v>
      </c>
      <c r="AC41" s="218">
        <v>0</v>
      </c>
      <c r="AD41" s="214"/>
      <c r="AE41" s="221">
        <f t="shared" si="79"/>
        <v>170.24417304110659</v>
      </c>
      <c r="AF41" s="158">
        <f>'TTM Orignal - With Levers'!J41</f>
        <v>170.24417304110659</v>
      </c>
      <c r="AG41" s="218">
        <v>0</v>
      </c>
      <c r="AH41" s="214"/>
      <c r="AI41" s="221">
        <f t="shared" si="80"/>
        <v>176.0252305654613</v>
      </c>
      <c r="AJ41" s="158">
        <f>'TTM Orignal - With Levers'!K41</f>
        <v>176.0252305654613</v>
      </c>
      <c r="AK41" s="218">
        <v>0</v>
      </c>
      <c r="AL41" s="214"/>
      <c r="AM41" s="221">
        <f t="shared" si="81"/>
        <v>186.30602703605749</v>
      </c>
      <c r="AN41" s="158">
        <f>'TTM Orignal - With Levers'!L41</f>
        <v>186.30602703605749</v>
      </c>
      <c r="AO41" s="218">
        <v>0</v>
      </c>
      <c r="AP41" s="214"/>
      <c r="AQ41" s="221">
        <f t="shared" si="82"/>
        <v>185.84140029159462</v>
      </c>
      <c r="AR41" s="158">
        <f>'TTM Orignal - With Levers'!M41</f>
        <v>185.84140029159462</v>
      </c>
      <c r="AS41" s="218">
        <v>0</v>
      </c>
      <c r="AT41" s="214"/>
      <c r="AU41" s="221">
        <f t="shared" si="83"/>
        <v>184.69966808334942</v>
      </c>
      <c r="AV41" s="158">
        <f>'TTM Orignal - With Levers'!N41</f>
        <v>184.69966808334942</v>
      </c>
      <c r="AW41" s="218">
        <v>0</v>
      </c>
      <c r="AX41" s="214"/>
      <c r="AY41" s="76">
        <f>SUM(C41:AU41)</f>
        <v>4032.0558677147769</v>
      </c>
      <c r="AZ41" s="294">
        <f t="shared" si="84"/>
        <v>2116.7492620853668</v>
      </c>
      <c r="BA41" s="292">
        <f>'TTM Orignal - With Levers'!V41</f>
        <v>2100.0062737127605</v>
      </c>
      <c r="BB41" s="266"/>
      <c r="BD41" s="208">
        <f t="shared" si="85"/>
        <v>2116.7492620853668</v>
      </c>
      <c r="BE41" s="207">
        <f t="shared" si="86"/>
        <v>2116.7492620853668</v>
      </c>
      <c r="BF41" s="209">
        <f t="shared" si="87"/>
        <v>2116.7492620853668</v>
      </c>
    </row>
    <row r="42" spans="1:58" x14ac:dyDescent="0.3">
      <c r="A42" s="175">
        <v>5450</v>
      </c>
      <c r="B42" s="126" t="s">
        <v>87</v>
      </c>
      <c r="C42" s="221">
        <f t="shared" si="73"/>
        <v>192.94442267460579</v>
      </c>
      <c r="D42" s="158">
        <f>'TTM Orignal - With Levers'!C42</f>
        <v>192.94442267460579</v>
      </c>
      <c r="E42" s="218">
        <v>0</v>
      </c>
      <c r="F42" s="214"/>
      <c r="G42" s="221">
        <f t="shared" si="74"/>
        <v>186.32005592077337</v>
      </c>
      <c r="H42" s="158">
        <f>'TTM Orignal - With Levers'!D42</f>
        <v>186.32005592077337</v>
      </c>
      <c r="I42" s="218">
        <v>0</v>
      </c>
      <c r="J42" s="214"/>
      <c r="K42" s="221">
        <f t="shared" si="75"/>
        <v>178.97771310213599</v>
      </c>
      <c r="L42" s="158">
        <f>'TTM Orignal - With Levers'!E42</f>
        <v>178.97771310213599</v>
      </c>
      <c r="M42" s="218">
        <v>0</v>
      </c>
      <c r="N42" s="214"/>
      <c r="O42" s="143">
        <f>(O$8/$BA$8)*$BA42</f>
        <v>188.55794048196714</v>
      </c>
      <c r="P42" s="158">
        <f>'TTM Orignal - With Levers'!F42</f>
        <v>171.41630952906107</v>
      </c>
      <c r="Q42" s="218">
        <v>0</v>
      </c>
      <c r="R42" s="214"/>
      <c r="S42" s="221">
        <f t="shared" si="76"/>
        <v>159.29714769839185</v>
      </c>
      <c r="T42" s="158">
        <f>'TTM Orignal - With Levers'!G42</f>
        <v>159.29714769839185</v>
      </c>
      <c r="U42" s="218">
        <v>0</v>
      </c>
      <c r="V42" s="214"/>
      <c r="W42" s="221">
        <f t="shared" si="77"/>
        <v>166.33729836389142</v>
      </c>
      <c r="X42" s="158">
        <f>'TTM Orignal - With Levers'!H42</f>
        <v>166.33729836389142</v>
      </c>
      <c r="Y42" s="218">
        <v>0</v>
      </c>
      <c r="Z42" s="214"/>
      <c r="AA42" s="221">
        <f t="shared" si="78"/>
        <v>170.09420299431241</v>
      </c>
      <c r="AB42" s="158">
        <f>'TTM Orignal - With Levers'!I42</f>
        <v>170.09420299431241</v>
      </c>
      <c r="AC42" s="218">
        <v>0</v>
      </c>
      <c r="AD42" s="214"/>
      <c r="AE42" s="221">
        <f t="shared" si="79"/>
        <v>174.29760573256152</v>
      </c>
      <c r="AF42" s="158">
        <f>'TTM Orignal - With Levers'!J42</f>
        <v>174.29760573256152</v>
      </c>
      <c r="AG42" s="218">
        <v>0</v>
      </c>
      <c r="AH42" s="214"/>
      <c r="AI42" s="221">
        <f t="shared" si="80"/>
        <v>180.21630748368659</v>
      </c>
      <c r="AJ42" s="158">
        <f>'TTM Orignal - With Levers'!K42</f>
        <v>180.21630748368659</v>
      </c>
      <c r="AK42" s="218">
        <v>0</v>
      </c>
      <c r="AL42" s="214"/>
      <c r="AM42" s="221">
        <f t="shared" si="81"/>
        <v>190.74188482263028</v>
      </c>
      <c r="AN42" s="158">
        <f>'TTM Orignal - With Levers'!L42</f>
        <v>190.74188482263028</v>
      </c>
      <c r="AO42" s="218">
        <v>0</v>
      </c>
      <c r="AP42" s="214"/>
      <c r="AQ42" s="221">
        <f t="shared" si="82"/>
        <v>190.26619553663258</v>
      </c>
      <c r="AR42" s="158">
        <f>'TTM Orignal - With Levers'!M42</f>
        <v>190.26619553663258</v>
      </c>
      <c r="AS42" s="218">
        <v>0</v>
      </c>
      <c r="AT42" s="214"/>
      <c r="AU42" s="221">
        <f t="shared" si="83"/>
        <v>189.0972792281911</v>
      </c>
      <c r="AV42" s="158">
        <f>'TTM Orignal - With Levers'!N42</f>
        <v>189.0972792281911</v>
      </c>
      <c r="AW42" s="218">
        <v>0</v>
      </c>
      <c r="AX42" s="214"/>
      <c r="AY42" s="76"/>
      <c r="AZ42" s="294">
        <f t="shared" si="84"/>
        <v>2167.1480540397797</v>
      </c>
      <c r="BA42" s="292">
        <f>'TTM Orignal - With Levers'!V42</f>
        <v>2150.0064230868738</v>
      </c>
      <c r="BB42" s="266"/>
      <c r="BD42" s="208">
        <f t="shared" si="85"/>
        <v>2167.1480540397797</v>
      </c>
      <c r="BE42" s="207">
        <f t="shared" si="86"/>
        <v>2167.1480540397797</v>
      </c>
      <c r="BF42" s="209">
        <f t="shared" si="87"/>
        <v>2167.1480540397797</v>
      </c>
    </row>
    <row r="43" spans="1:58" x14ac:dyDescent="0.3">
      <c r="A43" s="175">
        <v>5460</v>
      </c>
      <c r="B43" s="126" t="s">
        <v>122</v>
      </c>
      <c r="C43" s="221">
        <f t="shared" si="73"/>
        <v>1088.5655102525434</v>
      </c>
      <c r="D43" s="158">
        <f>'TTM Orignal - With Levers'!C43</f>
        <v>1088.5655102525434</v>
      </c>
      <c r="E43" s="218">
        <v>0</v>
      </c>
      <c r="F43" s="214"/>
      <c r="G43" s="221">
        <f t="shared" si="74"/>
        <v>1051.1917573576654</v>
      </c>
      <c r="H43" s="158">
        <f>'TTM Orignal - With Levers'!D43</f>
        <v>1051.1917573576654</v>
      </c>
      <c r="I43" s="218">
        <v>0</v>
      </c>
      <c r="J43" s="214"/>
      <c r="K43" s="256">
        <f t="shared" si="75"/>
        <v>1090.548666382894</v>
      </c>
      <c r="L43" s="188">
        <f>'TTM Orignal - With Levers'!E43</f>
        <v>1009.7672836878648</v>
      </c>
      <c r="M43" s="255">
        <v>0.08</v>
      </c>
      <c r="N43" s="257"/>
      <c r="O43" s="257">
        <f>(O$8/$BA$8)*$BA43</f>
        <v>1063.8175897889587</v>
      </c>
      <c r="P43" s="188">
        <f>'TTM Orignal - With Levers'!F43</f>
        <v>967.10689980814448</v>
      </c>
      <c r="Q43" s="255">
        <v>0.1</v>
      </c>
      <c r="R43" s="257"/>
      <c r="S43" s="256">
        <f t="shared" si="76"/>
        <v>988.60550778588026</v>
      </c>
      <c r="T43" s="188">
        <f>'TTM Orignal - With Levers'!G43</f>
        <v>898.73227980534568</v>
      </c>
      <c r="U43" s="255">
        <v>0.1</v>
      </c>
      <c r="V43" s="257"/>
      <c r="W43" s="256">
        <f t="shared" si="77"/>
        <v>1041.6815285399737</v>
      </c>
      <c r="X43" s="188">
        <f>'TTM Orignal - With Levers'!H43</f>
        <v>938.45182751348977</v>
      </c>
      <c r="Y43" s="255">
        <v>0.11</v>
      </c>
      <c r="Z43" s="257"/>
      <c r="AA43" s="256">
        <f t="shared" si="78"/>
        <v>1036.4195799566</v>
      </c>
      <c r="AB43" s="188">
        <f>'TTM Orignal - With Levers'!I43</f>
        <v>959.64775921907415</v>
      </c>
      <c r="AC43" s="255">
        <v>0.08</v>
      </c>
      <c r="AD43" s="257"/>
      <c r="AE43" s="256">
        <f t="shared" si="79"/>
        <v>1140.7008142984776</v>
      </c>
      <c r="AF43" s="188">
        <f>'TTM Orignal - With Levers'!J43</f>
        <v>983.36277094696334</v>
      </c>
      <c r="AG43" s="255">
        <v>0.16</v>
      </c>
      <c r="AH43" s="257"/>
      <c r="AI43" s="256">
        <f t="shared" si="80"/>
        <v>1199.7712072265113</v>
      </c>
      <c r="AJ43" s="188">
        <f>'TTM Orignal - With Levers'!K43</f>
        <v>1016.7552603614503</v>
      </c>
      <c r="AK43" s="255">
        <v>0.18</v>
      </c>
      <c r="AL43" s="257"/>
      <c r="AM43" s="256">
        <f t="shared" si="81"/>
        <v>1312.8897008075242</v>
      </c>
      <c r="AN43" s="188">
        <f>'TTM Orignal - With Levers'!L43</f>
        <v>1076.1390990225607</v>
      </c>
      <c r="AO43" s="255">
        <v>0.22</v>
      </c>
      <c r="AP43" s="257"/>
      <c r="AQ43" s="256">
        <f t="shared" si="82"/>
        <v>1352.5537113222258</v>
      </c>
      <c r="AR43" s="188">
        <f>'TTM Orignal - With Levers'!M43</f>
        <v>1073.4553264462108</v>
      </c>
      <c r="AS43" s="255">
        <v>0.26</v>
      </c>
      <c r="AT43" s="257"/>
      <c r="AU43" s="256">
        <f t="shared" si="83"/>
        <v>1386.9186028601605</v>
      </c>
      <c r="AV43" s="158">
        <f>'TTM Orignal - With Levers'!N43</f>
        <v>1066.8604637385849</v>
      </c>
      <c r="AW43" s="248">
        <v>0.3</v>
      </c>
      <c r="AX43" s="214"/>
      <c r="AY43" s="76"/>
      <c r="AZ43" s="294">
        <f t="shared" si="84"/>
        <v>13753.664176579414</v>
      </c>
      <c r="BA43" s="292">
        <f>'TTM Orignal - With Levers'!V43</f>
        <v>12130.036238159897</v>
      </c>
      <c r="BB43" s="266"/>
      <c r="BD43" s="208">
        <f t="shared" si="85"/>
        <v>13753.664176579414</v>
      </c>
      <c r="BE43" s="207">
        <f t="shared" si="86"/>
        <v>13753.664176579414</v>
      </c>
      <c r="BF43" s="209">
        <f t="shared" si="87"/>
        <v>13753.664176579414</v>
      </c>
    </row>
    <row r="44" spans="1:58" x14ac:dyDescent="0.3">
      <c r="A44" s="175"/>
      <c r="B44" s="131" t="s">
        <v>123</v>
      </c>
      <c r="C44" s="69">
        <f t="shared" ref="C44:AY44" si="88">SUM(C38:C43)</f>
        <v>7515.8591403433047</v>
      </c>
      <c r="D44" s="69"/>
      <c r="E44" s="69"/>
      <c r="F44" s="69"/>
      <c r="G44" s="69">
        <f t="shared" si="88"/>
        <v>7439.5094621293665</v>
      </c>
      <c r="H44" s="69"/>
      <c r="I44" s="69"/>
      <c r="J44" s="69"/>
      <c r="K44" s="69">
        <f t="shared" si="88"/>
        <v>7423.9600170772219</v>
      </c>
      <c r="L44" s="69"/>
      <c r="M44" s="69"/>
      <c r="N44" s="69"/>
      <c r="O44" s="69">
        <f t="shared" si="88"/>
        <v>7301.6443593796457</v>
      </c>
      <c r="P44" s="69"/>
      <c r="Q44" s="69"/>
      <c r="R44" s="69"/>
      <c r="S44" s="69">
        <f t="shared" si="88"/>
        <v>6923.9755721765814</v>
      </c>
      <c r="T44" s="69"/>
      <c r="U44" s="69"/>
      <c r="V44" s="69"/>
      <c r="W44" s="69">
        <f t="shared" si="88"/>
        <v>7063.911239320094</v>
      </c>
      <c r="X44" s="69"/>
      <c r="Y44" s="69"/>
      <c r="Z44" s="69"/>
      <c r="AA44" s="69">
        <f t="shared" si="88"/>
        <v>7227.1108686211428</v>
      </c>
      <c r="AB44" s="69"/>
      <c r="AC44" s="69"/>
      <c r="AD44" s="69"/>
      <c r="AE44" s="69">
        <f t="shared" si="88"/>
        <v>7740.5611195134152</v>
      </c>
      <c r="AF44" s="69"/>
      <c r="AG44" s="69"/>
      <c r="AH44" s="69"/>
      <c r="AI44" s="69">
        <f t="shared" si="88"/>
        <v>8367.9834385345348</v>
      </c>
      <c r="AJ44" s="69"/>
      <c r="AK44" s="69"/>
      <c r="AL44" s="69"/>
      <c r="AM44" s="69">
        <f t="shared" si="88"/>
        <v>8750.0779247226274</v>
      </c>
      <c r="AN44" s="69"/>
      <c r="AO44" s="69"/>
      <c r="AP44" s="69"/>
      <c r="AQ44" s="69">
        <f t="shared" si="88"/>
        <v>9141.766139065825</v>
      </c>
      <c r="AR44" s="69"/>
      <c r="AS44" s="69"/>
      <c r="AT44" s="69"/>
      <c r="AU44" s="69">
        <f t="shared" si="88"/>
        <v>9380.9912066112029</v>
      </c>
      <c r="AV44" s="69"/>
      <c r="AW44" s="69"/>
      <c r="AX44" s="69"/>
      <c r="AY44" s="258">
        <f t="shared" si="88"/>
        <v>50160.279338573884</v>
      </c>
      <c r="AZ44" s="258">
        <f>SUM(AZ38:AZ43)</f>
        <v>94277.350487494972</v>
      </c>
      <c r="BA44" s="295">
        <f>SUM(BA38:BA43)</f>
        <v>84780.25327874659</v>
      </c>
      <c r="BB44" s="148"/>
      <c r="BD44" s="69">
        <f>SUM(BD38:BD43)</f>
        <v>94277.350487494972</v>
      </c>
      <c r="BE44" s="69">
        <f t="shared" ref="BE44:BF44" si="89">SUM(BE38:BE43)</f>
        <v>94277.350487494972</v>
      </c>
      <c r="BF44" s="69">
        <f t="shared" si="89"/>
        <v>94277.350487494972</v>
      </c>
    </row>
    <row r="45" spans="1:58" x14ac:dyDescent="0.3">
      <c r="A45" s="175"/>
      <c r="B45" s="82" t="s">
        <v>69</v>
      </c>
      <c r="C45" s="83">
        <f t="shared" ref="C45:AZ45" si="90">SUM(C8-C44)</f>
        <v>7686.4108596566957</v>
      </c>
      <c r="D45" s="83"/>
      <c r="E45" s="83"/>
      <c r="F45" s="83"/>
      <c r="G45" s="83">
        <f t="shared" si="90"/>
        <v>7240.8205378706334</v>
      </c>
      <c r="H45" s="83"/>
      <c r="I45" s="83"/>
      <c r="J45" s="83"/>
      <c r="K45" s="83">
        <f t="shared" si="90"/>
        <v>7806.0055829227776</v>
      </c>
      <c r="L45" s="83"/>
      <c r="M45" s="83"/>
      <c r="N45" s="83"/>
      <c r="O45" s="83">
        <f t="shared" si="90"/>
        <v>7555.0106406203531</v>
      </c>
      <c r="P45" s="83"/>
      <c r="Q45" s="83"/>
      <c r="R45" s="83"/>
      <c r="S45" s="83">
        <f t="shared" si="90"/>
        <v>6882.3114278234189</v>
      </c>
      <c r="T45" s="83"/>
      <c r="U45" s="83"/>
      <c r="V45" s="83"/>
      <c r="W45" s="83">
        <f t="shared" si="90"/>
        <v>7483.604460679906</v>
      </c>
      <c r="X45" s="83"/>
      <c r="Y45" s="83"/>
      <c r="Z45" s="83"/>
      <c r="AA45" s="83">
        <f t="shared" si="90"/>
        <v>7246.9195313788568</v>
      </c>
      <c r="AB45" s="83"/>
      <c r="AC45" s="83"/>
      <c r="AD45" s="83"/>
      <c r="AE45" s="83">
        <f t="shared" si="90"/>
        <v>8189.8000804865842</v>
      </c>
      <c r="AF45" s="83"/>
      <c r="AG45" s="83"/>
      <c r="AH45" s="83"/>
      <c r="AI45" s="83">
        <f t="shared" si="90"/>
        <v>8387.3203614654667</v>
      </c>
      <c r="AJ45" s="83"/>
      <c r="AK45" s="83"/>
      <c r="AL45" s="83"/>
      <c r="AM45" s="83">
        <f t="shared" si="90"/>
        <v>9584.9726752773713</v>
      </c>
      <c r="AN45" s="83"/>
      <c r="AO45" s="83"/>
      <c r="AP45" s="83"/>
      <c r="AQ45" s="83">
        <f t="shared" si="90"/>
        <v>9747.2088609341736</v>
      </c>
      <c r="AR45" s="83"/>
      <c r="AS45" s="83"/>
      <c r="AT45" s="83"/>
      <c r="AU45" s="83">
        <f t="shared" si="90"/>
        <v>9987.9037933887976</v>
      </c>
      <c r="AV45" s="83"/>
      <c r="AW45" s="83"/>
      <c r="AX45" s="83"/>
      <c r="AY45" s="259">
        <f t="shared" si="90"/>
        <v>-50160.279338573884</v>
      </c>
      <c r="AZ45" s="259">
        <f t="shared" si="90"/>
        <v>97798.288812505009</v>
      </c>
      <c r="BA45" s="296">
        <f>SUM(BA8-BA44)</f>
        <v>84620.74672125341</v>
      </c>
      <c r="BB45" s="149"/>
      <c r="BD45" s="83">
        <f t="shared" ref="BD45:BF45" si="91">SUM(BD8-BD44)</f>
        <v>97798.288812505009</v>
      </c>
      <c r="BE45" s="83">
        <f t="shared" si="91"/>
        <v>97798.288812505009</v>
      </c>
      <c r="BF45" s="83">
        <f t="shared" si="91"/>
        <v>97798.288812505009</v>
      </c>
    </row>
    <row r="46" spans="1:58" x14ac:dyDescent="0.3">
      <c r="A46" s="175"/>
      <c r="B46" s="84" t="s">
        <v>70</v>
      </c>
      <c r="C46" s="85">
        <f t="shared" ref="C46:AY46" si="92">SUM(C8-C44)/C8</f>
        <v>0.50560941620275757</v>
      </c>
      <c r="D46" s="85"/>
      <c r="E46" s="85"/>
      <c r="F46" s="85"/>
      <c r="G46" s="85">
        <f t="shared" si="92"/>
        <v>0.49323281819077863</v>
      </c>
      <c r="H46" s="85"/>
      <c r="I46" s="85"/>
      <c r="J46" s="85"/>
      <c r="K46" s="85">
        <f t="shared" si="92"/>
        <v>0.51254256168003276</v>
      </c>
      <c r="L46" s="85"/>
      <c r="M46" s="85"/>
      <c r="N46" s="85"/>
      <c r="O46" s="85">
        <f t="shared" si="92"/>
        <v>0.50852702984759046</v>
      </c>
      <c r="P46" s="85"/>
      <c r="Q46" s="85"/>
      <c r="R46" s="85"/>
      <c r="S46" s="85">
        <f t="shared" si="92"/>
        <v>0.49849111696891557</v>
      </c>
      <c r="T46" s="85"/>
      <c r="U46" s="85"/>
      <c r="V46" s="85"/>
      <c r="W46" s="85">
        <f t="shared" si="92"/>
        <v>0.51442491041132932</v>
      </c>
      <c r="X46" s="85"/>
      <c r="Y46" s="85"/>
      <c r="Z46" s="85"/>
      <c r="AA46" s="85">
        <f t="shared" si="92"/>
        <v>0.50068428289185141</v>
      </c>
      <c r="AB46" s="85"/>
      <c r="AC46" s="85"/>
      <c r="AD46" s="85"/>
      <c r="AE46" s="85">
        <f t="shared" si="92"/>
        <v>0.51410008710201649</v>
      </c>
      <c r="AF46" s="85"/>
      <c r="AG46" s="85"/>
      <c r="AH46" s="85"/>
      <c r="AI46" s="85">
        <f t="shared" si="92"/>
        <v>0.50057703886368599</v>
      </c>
      <c r="AJ46" s="85"/>
      <c r="AK46" s="85"/>
      <c r="AL46" s="85"/>
      <c r="AM46" s="85">
        <f t="shared" si="92"/>
        <v>0.52276772420128315</v>
      </c>
      <c r="AN46" s="85"/>
      <c r="AO46" s="85"/>
      <c r="AP46" s="85"/>
      <c r="AQ46" s="85">
        <f t="shared" si="92"/>
        <v>0.51602635192932245</v>
      </c>
      <c r="AR46" s="85"/>
      <c r="AS46" s="85"/>
      <c r="AT46" s="85"/>
      <c r="AU46" s="85">
        <f t="shared" si="92"/>
        <v>0.51566719698716923</v>
      </c>
      <c r="AV46" s="85"/>
      <c r="AW46" s="85"/>
      <c r="AX46" s="85"/>
      <c r="AY46" s="260" t="e">
        <f t="shared" si="92"/>
        <v>#DIV/0!</v>
      </c>
      <c r="AZ46" s="306">
        <f>SUM(AZ8-AZ44)/AZ8</f>
        <v>0.50916549942991662</v>
      </c>
      <c r="BA46" s="298">
        <f>SUM(BA8-BA44)/BA8</f>
        <v>0.49952920420336011</v>
      </c>
      <c r="BB46" s="149"/>
      <c r="BD46" s="85">
        <f>SUM(BD8-BD44)/BD8</f>
        <v>0.50916549942991662</v>
      </c>
      <c r="BE46" s="85">
        <f t="shared" ref="BE46:BF46" si="93">SUM(BE8-BE44)/BE8</f>
        <v>0.50916549942991662</v>
      </c>
      <c r="BF46" s="85">
        <f t="shared" si="93"/>
        <v>0.50916549942991662</v>
      </c>
    </row>
    <row r="47" spans="1:58" x14ac:dyDescent="0.3">
      <c r="A47" s="175"/>
      <c r="B47" s="47"/>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99"/>
      <c r="BB47" s="149"/>
    </row>
    <row r="48" spans="1:58" x14ac:dyDescent="0.3">
      <c r="A48" s="175"/>
      <c r="B48" s="127" t="s">
        <v>124</v>
      </c>
      <c r="C48" s="164">
        <f>SUM(C18,C25,C33,C44)</f>
        <v>86599.792823759621</v>
      </c>
      <c r="D48" s="164"/>
      <c r="E48" s="164"/>
      <c r="F48" s="164"/>
      <c r="G48" s="164">
        <f t="shared" ref="G48:AY48" si="94">SUM(G18,G25,G33,G44)</f>
        <v>77374.295967738042</v>
      </c>
      <c r="H48" s="164"/>
      <c r="I48" s="164"/>
      <c r="J48" s="164"/>
      <c r="K48" s="164">
        <f t="shared" si="94"/>
        <v>66886.398961241648</v>
      </c>
      <c r="L48" s="164"/>
      <c r="M48" s="164"/>
      <c r="N48" s="164"/>
      <c r="O48" s="164">
        <f t="shared" si="94"/>
        <v>61445.898165374521</v>
      </c>
      <c r="P48" s="164"/>
      <c r="Q48" s="164"/>
      <c r="R48" s="164"/>
      <c r="S48" s="164">
        <f t="shared" si="94"/>
        <v>49050.418172542362</v>
      </c>
      <c r="T48" s="164"/>
      <c r="U48" s="164"/>
      <c r="V48" s="164"/>
      <c r="W48" s="164">
        <f t="shared" si="94"/>
        <v>55307.121010567818</v>
      </c>
      <c r="X48" s="164"/>
      <c r="Y48" s="164"/>
      <c r="Z48" s="164"/>
      <c r="AA48" s="164">
        <f t="shared" si="94"/>
        <v>55110.832342771122</v>
      </c>
      <c r="AB48" s="164"/>
      <c r="AC48" s="164"/>
      <c r="AD48" s="164"/>
      <c r="AE48" s="164">
        <f t="shared" si="94"/>
        <v>65574.068972825698</v>
      </c>
      <c r="AF48" s="164"/>
      <c r="AG48" s="164"/>
      <c r="AH48" s="164"/>
      <c r="AI48" s="164">
        <f t="shared" si="94"/>
        <v>76753.136467586635</v>
      </c>
      <c r="AJ48" s="164"/>
      <c r="AK48" s="164"/>
      <c r="AL48" s="164"/>
      <c r="AM48" s="164">
        <f t="shared" si="94"/>
        <v>105850.02758501159</v>
      </c>
      <c r="AN48" s="164"/>
      <c r="AO48" s="164"/>
      <c r="AP48" s="164"/>
      <c r="AQ48" s="164">
        <f t="shared" si="94"/>
        <v>100134.72056051579</v>
      </c>
      <c r="AR48" s="164"/>
      <c r="AS48" s="164"/>
      <c r="AT48" s="164"/>
      <c r="AU48" s="164">
        <f t="shared" si="94"/>
        <v>95619.109512080846</v>
      </c>
      <c r="AV48" s="164"/>
      <c r="AW48" s="164"/>
      <c r="AX48" s="164"/>
      <c r="AY48" s="263">
        <f t="shared" si="94"/>
        <v>899406.80647610046</v>
      </c>
      <c r="AZ48" s="307">
        <f>SUM(AZ18,AZ25,AZ33,AZ44)</f>
        <v>895705.82054201572</v>
      </c>
      <c r="BA48" s="300">
        <f>SUM(BA18,BA25,BA33,BA44)</f>
        <v>830497.36171354703</v>
      </c>
      <c r="BB48" s="149"/>
      <c r="BD48" s="164">
        <f>SUM(BD18,BD25,BD33,BD44)</f>
        <v>895705.82054201572</v>
      </c>
      <c r="BE48" s="164">
        <f t="shared" ref="BE48:BF48" si="95">SUM(BE18,BE25,BE33,BE44)</f>
        <v>895705.82054201572</v>
      </c>
      <c r="BF48" s="164">
        <f t="shared" si="95"/>
        <v>895705.82054201572</v>
      </c>
    </row>
    <row r="49" spans="1:58" x14ac:dyDescent="0.3">
      <c r="A49" s="175"/>
      <c r="B49" s="132" t="s">
        <v>125</v>
      </c>
      <c r="C49" s="165">
        <f t="shared" ref="C49:AZ49" si="96">SUM(C9-C48)</f>
        <v>38338.477176240383</v>
      </c>
      <c r="D49" s="165"/>
      <c r="E49" s="165"/>
      <c r="F49" s="165"/>
      <c r="G49" s="165">
        <f t="shared" si="96"/>
        <v>35518.03403226196</v>
      </c>
      <c r="H49" s="165"/>
      <c r="I49" s="165"/>
      <c r="J49" s="165"/>
      <c r="K49" s="165">
        <f t="shared" si="96"/>
        <v>33139.566638758348</v>
      </c>
      <c r="L49" s="165"/>
      <c r="M49" s="165"/>
      <c r="N49" s="165"/>
      <c r="O49" s="165">
        <f t="shared" si="96"/>
        <v>31485.656834625486</v>
      </c>
      <c r="P49" s="165"/>
      <c r="Q49" s="165"/>
      <c r="R49" s="165"/>
      <c r="S49" s="165">
        <f t="shared" si="96"/>
        <v>26042.408827457642</v>
      </c>
      <c r="T49" s="165"/>
      <c r="U49" s="165"/>
      <c r="V49" s="165"/>
      <c r="W49" s="165">
        <f t="shared" si="96"/>
        <v>30184.754689432186</v>
      </c>
      <c r="X49" s="165"/>
      <c r="Y49" s="165"/>
      <c r="Z49" s="165"/>
      <c r="AA49" s="165">
        <f t="shared" si="96"/>
        <v>28321.838057228881</v>
      </c>
      <c r="AB49" s="165"/>
      <c r="AC49" s="165"/>
      <c r="AD49" s="165"/>
      <c r="AE49" s="165">
        <f t="shared" si="96"/>
        <v>37260.665427174303</v>
      </c>
      <c r="AF49" s="165"/>
      <c r="AG49" s="165"/>
      <c r="AH49" s="165"/>
      <c r="AI49" s="165">
        <f t="shared" si="96"/>
        <v>40189.017732413355</v>
      </c>
      <c r="AJ49" s="165"/>
      <c r="AK49" s="165"/>
      <c r="AL49" s="165"/>
      <c r="AM49" s="165">
        <f t="shared" si="96"/>
        <v>57374.536614988407</v>
      </c>
      <c r="AN49" s="165"/>
      <c r="AO49" s="165"/>
      <c r="AP49" s="165"/>
      <c r="AQ49" s="165">
        <f t="shared" si="96"/>
        <v>49502.656839484203</v>
      </c>
      <c r="AR49" s="165"/>
      <c r="AS49" s="165"/>
      <c r="AT49" s="165"/>
      <c r="AU49" s="165">
        <f t="shared" si="96"/>
        <v>46849.036332919175</v>
      </c>
      <c r="AV49" s="165"/>
      <c r="AW49" s="165"/>
      <c r="AX49" s="165"/>
      <c r="AY49" s="264">
        <f t="shared" si="96"/>
        <v>-899406.80647610046</v>
      </c>
      <c r="AZ49" s="308">
        <f t="shared" si="96"/>
        <v>454206.64920298394</v>
      </c>
      <c r="BA49" s="301">
        <f>SUM(BA9-BA48)</f>
        <v>379502.7782864531</v>
      </c>
      <c r="BB49" s="149"/>
      <c r="BD49" s="165">
        <f t="shared" ref="BD49:BF49" si="97">SUM(BD9-BD48)</f>
        <v>454206.64920298394</v>
      </c>
      <c r="BE49" s="165">
        <f t="shared" si="97"/>
        <v>454206.64920298394</v>
      </c>
      <c r="BF49" s="165">
        <f t="shared" si="97"/>
        <v>454206.64920298394</v>
      </c>
    </row>
    <row r="50" spans="1:58" x14ac:dyDescent="0.3">
      <c r="A50" s="175"/>
      <c r="B50" s="130" t="s">
        <v>126</v>
      </c>
      <c r="C50" s="133">
        <f t="shared" ref="C50:AZ50" si="98">C49/C9</f>
        <v>0.30685935683470228</v>
      </c>
      <c r="D50" s="133"/>
      <c r="E50" s="133"/>
      <c r="F50" s="133"/>
      <c r="G50" s="133">
        <f t="shared" si="98"/>
        <v>0.31461866392749588</v>
      </c>
      <c r="H50" s="133"/>
      <c r="I50" s="133"/>
      <c r="J50" s="133"/>
      <c r="K50" s="133">
        <f t="shared" si="98"/>
        <v>0.33130963985173817</v>
      </c>
      <c r="L50" s="133"/>
      <c r="M50" s="133"/>
      <c r="N50" s="133"/>
      <c r="O50" s="133">
        <f t="shared" si="98"/>
        <v>0.33880479923773454</v>
      </c>
      <c r="P50" s="133"/>
      <c r="Q50" s="133"/>
      <c r="R50" s="133"/>
      <c r="S50" s="133">
        <f t="shared" si="98"/>
        <v>0.34680288208429871</v>
      </c>
      <c r="T50" s="133"/>
      <c r="U50" s="133"/>
      <c r="V50" s="133"/>
      <c r="W50" s="133">
        <f t="shared" si="98"/>
        <v>0.35307161577965218</v>
      </c>
      <c r="X50" s="133"/>
      <c r="Y50" s="133"/>
      <c r="Z50" s="133"/>
      <c r="AA50" s="133">
        <f t="shared" si="98"/>
        <v>0.33945740824842252</v>
      </c>
      <c r="AB50" s="133"/>
      <c r="AC50" s="133"/>
      <c r="AD50" s="133"/>
      <c r="AE50" s="133">
        <f t="shared" si="98"/>
        <v>0.36233540782280954</v>
      </c>
      <c r="AF50" s="133"/>
      <c r="AG50" s="133"/>
      <c r="AH50" s="133"/>
      <c r="AI50" s="133">
        <f t="shared" si="98"/>
        <v>0.34366578935838826</v>
      </c>
      <c r="AJ50" s="133"/>
      <c r="AK50" s="133"/>
      <c r="AL50" s="133"/>
      <c r="AM50" s="133">
        <f t="shared" si="98"/>
        <v>0.35150675326470504</v>
      </c>
      <c r="AN50" s="133"/>
      <c r="AO50" s="133"/>
      <c r="AP50" s="133"/>
      <c r="AQ50" s="133">
        <f t="shared" si="98"/>
        <v>0.33081745817528746</v>
      </c>
      <c r="AR50" s="133"/>
      <c r="AS50" s="133"/>
      <c r="AT50" s="133"/>
      <c r="AU50" s="133">
        <f t="shared" si="98"/>
        <v>0.32883867516524828</v>
      </c>
      <c r="AV50" s="133"/>
      <c r="AW50" s="133"/>
      <c r="AX50" s="133"/>
      <c r="AY50" s="265" t="e">
        <f t="shared" si="98"/>
        <v>#DIV/0!</v>
      </c>
      <c r="AZ50" s="306">
        <f t="shared" si="98"/>
        <v>0.336471185638269</v>
      </c>
      <c r="BA50" s="297">
        <f>BA49/BA9</f>
        <v>0.31363862345210397</v>
      </c>
      <c r="BB50" s="149"/>
      <c r="BD50" s="133">
        <f t="shared" ref="BD50:BF50" si="99">BD49/BD9</f>
        <v>0.336471185638269</v>
      </c>
      <c r="BE50" s="133">
        <f t="shared" si="99"/>
        <v>0.336471185638269</v>
      </c>
      <c r="BF50" s="133">
        <f t="shared" si="99"/>
        <v>0.336471185638269</v>
      </c>
    </row>
    <row r="51" spans="1:58" x14ac:dyDescent="0.3">
      <c r="A51" s="175"/>
      <c r="B51" s="47"/>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4"/>
      <c r="BA51" s="24"/>
      <c r="BB51" s="146"/>
    </row>
    <row r="52" spans="1:58" x14ac:dyDescent="0.3">
      <c r="A52" s="176"/>
      <c r="B52" s="65" t="s">
        <v>71</v>
      </c>
      <c r="C52" s="9"/>
      <c r="D52" s="9"/>
      <c r="E52" s="9"/>
      <c r="F52" s="9"/>
      <c r="G52" s="5"/>
      <c r="H52" s="9"/>
      <c r="I52" s="9"/>
      <c r="J52" s="9"/>
      <c r="K52" s="5"/>
      <c r="L52" s="5"/>
      <c r="M52" s="9"/>
      <c r="N52" s="9"/>
      <c r="O52" s="5"/>
      <c r="P52" s="5"/>
      <c r="Q52" s="9"/>
      <c r="R52" s="9"/>
      <c r="S52" s="5"/>
      <c r="T52" s="5"/>
      <c r="U52" s="9"/>
      <c r="V52" s="9"/>
      <c r="W52" s="6"/>
      <c r="X52" s="6"/>
      <c r="Y52" s="9"/>
      <c r="Z52" s="9"/>
      <c r="AA52" s="6"/>
      <c r="AB52" s="6"/>
      <c r="AC52" s="9"/>
      <c r="AD52" s="9"/>
      <c r="AE52" s="6"/>
      <c r="AF52" s="6"/>
      <c r="AG52" s="9"/>
      <c r="AH52" s="9"/>
      <c r="AI52" s="6"/>
      <c r="AJ52" s="6"/>
      <c r="AK52" s="9"/>
      <c r="AL52" s="9"/>
      <c r="AM52" s="6"/>
      <c r="AN52" s="6"/>
      <c r="AO52" s="9"/>
      <c r="AP52" s="9"/>
      <c r="AQ52" s="6"/>
      <c r="AR52" s="6"/>
      <c r="AS52" s="9"/>
      <c r="AT52" s="9"/>
      <c r="AU52" s="6"/>
      <c r="AV52" s="6"/>
      <c r="AW52" s="9"/>
      <c r="AX52" s="9"/>
      <c r="AY52" s="6"/>
      <c r="AZ52" s="8"/>
      <c r="BA52" s="8"/>
      <c r="BB52" s="195"/>
    </row>
    <row r="53" spans="1:58" x14ac:dyDescent="0.3">
      <c r="A53" s="176">
        <v>6110</v>
      </c>
      <c r="B53" s="86" t="s">
        <v>72</v>
      </c>
      <c r="C53" s="221">
        <f t="shared" ref="C53:C70" si="100">D53+(D53*E53)</f>
        <v>3667</v>
      </c>
      <c r="D53" s="158">
        <f>'TTM Orignal - With Levers'!C53</f>
        <v>3667</v>
      </c>
      <c r="E53" s="219">
        <v>0</v>
      </c>
      <c r="F53" s="87"/>
      <c r="G53" s="221">
        <f t="shared" ref="G53:G70" si="101">H53+(H53*I53)</f>
        <v>3667</v>
      </c>
      <c r="H53" s="158">
        <f>'TTM Orignal - With Levers'!D53</f>
        <v>3667</v>
      </c>
      <c r="I53" s="219">
        <v>0</v>
      </c>
      <c r="J53" s="87"/>
      <c r="K53" s="221">
        <f>L53+(L53*M53)</f>
        <v>3667</v>
      </c>
      <c r="L53" s="158">
        <f>'TTM Orignal - With Levers'!E53</f>
        <v>3667</v>
      </c>
      <c r="M53" s="219">
        <v>0</v>
      </c>
      <c r="N53" s="87"/>
      <c r="O53" s="221">
        <f t="shared" ref="O53:O69" si="102">P53+(P53*Q53)</f>
        <v>3667</v>
      </c>
      <c r="P53" s="158">
        <f>'TTM Orignal - With Levers'!F53</f>
        <v>3667</v>
      </c>
      <c r="Q53" s="219">
        <v>0</v>
      </c>
      <c r="R53" s="87"/>
      <c r="S53" s="221">
        <f t="shared" ref="S53:S70" si="103">T53+(T53*U53)</f>
        <v>3667</v>
      </c>
      <c r="T53" s="158">
        <f>'TTM Orignal - With Levers'!G53</f>
        <v>3667</v>
      </c>
      <c r="U53" s="219">
        <v>0</v>
      </c>
      <c r="V53" s="87"/>
      <c r="W53" s="221">
        <f t="shared" ref="W53:W70" si="104">X53+(X53*Y53)</f>
        <v>3667</v>
      </c>
      <c r="X53" s="158">
        <f>'TTM Orignal - With Levers'!H53</f>
        <v>3667</v>
      </c>
      <c r="Y53" s="219">
        <v>0</v>
      </c>
      <c r="Z53" s="87"/>
      <c r="AA53" s="221">
        <f t="shared" ref="AA53:AA70" si="105">AB53+(AB53*AC53)</f>
        <v>3667</v>
      </c>
      <c r="AB53" s="158">
        <f>'TTM Orignal - With Levers'!I53</f>
        <v>3667</v>
      </c>
      <c r="AC53" s="219">
        <v>0</v>
      </c>
      <c r="AD53" s="87"/>
      <c r="AE53" s="221">
        <f t="shared" ref="AE53:AE70" si="106">AF53+(AF53*AG53)</f>
        <v>3667</v>
      </c>
      <c r="AF53" s="158">
        <f>'TTM Orignal - With Levers'!J53</f>
        <v>3667</v>
      </c>
      <c r="AG53" s="219">
        <v>0</v>
      </c>
      <c r="AH53" s="87"/>
      <c r="AI53" s="221">
        <f t="shared" ref="AI53:AI70" si="107">AJ53+(AJ53*AK53)</f>
        <v>3667</v>
      </c>
      <c r="AJ53" s="158">
        <f>'TTM Orignal - With Levers'!K53</f>
        <v>3667</v>
      </c>
      <c r="AK53" s="219">
        <v>0</v>
      </c>
      <c r="AL53" s="87"/>
      <c r="AM53" s="221">
        <f t="shared" ref="AM53:AM70" si="108">AN53+(AN53*AO53)</f>
        <v>3667</v>
      </c>
      <c r="AN53" s="158">
        <f>'TTM Orignal - With Levers'!L53</f>
        <v>3667</v>
      </c>
      <c r="AO53" s="219">
        <v>0</v>
      </c>
      <c r="AP53" s="87"/>
      <c r="AQ53" s="221">
        <f t="shared" ref="AQ53:AQ70" si="109">AR53+(AR53*AS53)</f>
        <v>3667</v>
      </c>
      <c r="AR53" s="158">
        <f>'TTM Orignal - With Levers'!M53</f>
        <v>3667</v>
      </c>
      <c r="AS53" s="219">
        <v>0</v>
      </c>
      <c r="AT53" s="87"/>
      <c r="AU53" s="221">
        <f t="shared" ref="AU53:AU70" si="110">AV53+(AV53*AW53)</f>
        <v>3667</v>
      </c>
      <c r="AV53" s="158">
        <f>'TTM Orignal - With Levers'!N53</f>
        <v>3667</v>
      </c>
      <c r="AW53" s="219">
        <v>0</v>
      </c>
      <c r="AX53" s="87"/>
      <c r="AY53" s="76">
        <f t="shared" ref="AY53:AY70" si="111">SUM(C53:AU53)</f>
        <v>84341</v>
      </c>
      <c r="AZ53" s="294">
        <f t="shared" ref="AZ53:AZ70" si="112">SUM(C53,G53,K53,O53,S53,W53,AA53,AE53,AI53,AM53,AQ53,AU53)</f>
        <v>44004</v>
      </c>
      <c r="BA53" s="291">
        <f>'TTM Orignal - With Levers'!V53</f>
        <v>44004</v>
      </c>
      <c r="BB53" s="266"/>
      <c r="BD53" s="208">
        <f t="shared" ref="BD53:BD70" si="113">(AZ53+(AZ53*BB53))</f>
        <v>44004</v>
      </c>
      <c r="BE53" s="207">
        <f t="shared" ref="BE53:BE70" si="114">AZ53</f>
        <v>44004</v>
      </c>
      <c r="BF53" s="209">
        <f t="shared" ref="BF53:BF70" si="115">BD53</f>
        <v>44004</v>
      </c>
    </row>
    <row r="54" spans="1:58" x14ac:dyDescent="0.3">
      <c r="A54" s="178">
        <v>6120</v>
      </c>
      <c r="B54" s="90" t="s">
        <v>73</v>
      </c>
      <c r="C54" s="221">
        <f t="shared" si="100"/>
        <v>910</v>
      </c>
      <c r="D54" s="158">
        <f>'TTM Orignal - With Levers'!C54</f>
        <v>910</v>
      </c>
      <c r="E54" s="219">
        <v>0</v>
      </c>
      <c r="F54" s="77"/>
      <c r="G54" s="221">
        <f t="shared" si="101"/>
        <v>280</v>
      </c>
      <c r="H54" s="158">
        <f>'TTM Orignal - With Levers'!D54</f>
        <v>280</v>
      </c>
      <c r="I54" s="219">
        <v>0</v>
      </c>
      <c r="J54" s="77"/>
      <c r="K54" s="221">
        <f t="shared" ref="K54:K70" si="116">L54+(L54*M54)</f>
        <v>560</v>
      </c>
      <c r="L54" s="158">
        <f>'TTM Orignal - With Levers'!E54</f>
        <v>560</v>
      </c>
      <c r="M54" s="219">
        <v>0</v>
      </c>
      <c r="N54" s="77"/>
      <c r="O54" s="221">
        <f t="shared" si="102"/>
        <v>350</v>
      </c>
      <c r="P54" s="158">
        <f>'TTM Orignal - With Levers'!F54</f>
        <v>350</v>
      </c>
      <c r="Q54" s="219">
        <v>0</v>
      </c>
      <c r="R54" s="77"/>
      <c r="S54" s="221">
        <f t="shared" si="103"/>
        <v>280</v>
      </c>
      <c r="T54" s="158">
        <f>'TTM Orignal - With Levers'!G54</f>
        <v>280</v>
      </c>
      <c r="U54" s="219">
        <v>0</v>
      </c>
      <c r="V54" s="77"/>
      <c r="W54" s="221">
        <f t="shared" si="104"/>
        <v>350</v>
      </c>
      <c r="X54" s="158">
        <f>'TTM Orignal - With Levers'!H54</f>
        <v>350</v>
      </c>
      <c r="Y54" s="219">
        <v>0</v>
      </c>
      <c r="Z54" s="77"/>
      <c r="AA54" s="221">
        <f t="shared" si="105"/>
        <v>490</v>
      </c>
      <c r="AB54" s="158">
        <f>'TTM Orignal - With Levers'!I54</f>
        <v>490</v>
      </c>
      <c r="AC54" s="219">
        <v>0</v>
      </c>
      <c r="AD54" s="77"/>
      <c r="AE54" s="221">
        <f t="shared" si="106"/>
        <v>700</v>
      </c>
      <c r="AF54" s="158">
        <f>'TTM Orignal - With Levers'!J54</f>
        <v>700</v>
      </c>
      <c r="AG54" s="219">
        <v>0</v>
      </c>
      <c r="AH54" s="77"/>
      <c r="AI54" s="221">
        <f t="shared" si="107"/>
        <v>420</v>
      </c>
      <c r="AJ54" s="158">
        <f>'TTM Orignal - With Levers'!K54</f>
        <v>420</v>
      </c>
      <c r="AK54" s="219">
        <v>0</v>
      </c>
      <c r="AL54" s="77"/>
      <c r="AM54" s="221">
        <f t="shared" si="108"/>
        <v>1190</v>
      </c>
      <c r="AN54" s="158">
        <f>'TTM Orignal - With Levers'!L54</f>
        <v>1190</v>
      </c>
      <c r="AO54" s="219">
        <v>0</v>
      </c>
      <c r="AP54" s="77"/>
      <c r="AQ54" s="221">
        <f t="shared" si="109"/>
        <v>1120</v>
      </c>
      <c r="AR54" s="158">
        <f>'TTM Orignal - With Levers'!M54</f>
        <v>1120</v>
      </c>
      <c r="AS54" s="219">
        <v>0</v>
      </c>
      <c r="AT54" s="77"/>
      <c r="AU54" s="221">
        <f t="shared" si="110"/>
        <v>350</v>
      </c>
      <c r="AV54" s="158">
        <f>'TTM Orignal - With Levers'!N54</f>
        <v>350</v>
      </c>
      <c r="AW54" s="219">
        <v>0</v>
      </c>
      <c r="AX54" s="77"/>
      <c r="AY54" s="76">
        <f t="shared" si="111"/>
        <v>13650</v>
      </c>
      <c r="AZ54" s="294">
        <f t="shared" si="112"/>
        <v>7000</v>
      </c>
      <c r="BA54" s="292">
        <f>'TTM Orignal - With Levers'!V54</f>
        <v>7000</v>
      </c>
      <c r="BB54" s="266"/>
      <c r="BD54" s="208">
        <f t="shared" si="113"/>
        <v>7000</v>
      </c>
      <c r="BE54" s="207">
        <f t="shared" si="114"/>
        <v>7000</v>
      </c>
      <c r="BF54" s="209">
        <f t="shared" si="115"/>
        <v>7000</v>
      </c>
    </row>
    <row r="55" spans="1:58" x14ac:dyDescent="0.3">
      <c r="A55" s="176">
        <v>6130</v>
      </c>
      <c r="B55" s="91" t="s">
        <v>74</v>
      </c>
      <c r="C55" s="221">
        <f t="shared" si="100"/>
        <v>120</v>
      </c>
      <c r="D55" s="158">
        <f>'TTM Orignal - With Levers'!C55</f>
        <v>120</v>
      </c>
      <c r="E55" s="219">
        <v>0</v>
      </c>
      <c r="F55" s="88"/>
      <c r="G55" s="221">
        <f t="shared" si="101"/>
        <v>160</v>
      </c>
      <c r="H55" s="158">
        <f>'TTM Orignal - With Levers'!D55</f>
        <v>160</v>
      </c>
      <c r="I55" s="219">
        <v>0</v>
      </c>
      <c r="J55" s="88"/>
      <c r="K55" s="221">
        <f t="shared" si="116"/>
        <v>230</v>
      </c>
      <c r="L55" s="158">
        <f>'TTM Orignal - With Levers'!E55</f>
        <v>230</v>
      </c>
      <c r="M55" s="219">
        <v>0</v>
      </c>
      <c r="N55" s="88"/>
      <c r="O55" s="221">
        <f t="shared" si="102"/>
        <v>270</v>
      </c>
      <c r="P55" s="158">
        <f>'TTM Orignal - With Levers'!F55</f>
        <v>270</v>
      </c>
      <c r="Q55" s="219">
        <v>0</v>
      </c>
      <c r="R55" s="88"/>
      <c r="S55" s="221">
        <f t="shared" si="103"/>
        <v>290</v>
      </c>
      <c r="T55" s="158">
        <f>'TTM Orignal - With Levers'!G55</f>
        <v>290</v>
      </c>
      <c r="U55" s="219">
        <v>0</v>
      </c>
      <c r="V55" s="88"/>
      <c r="W55" s="221">
        <f t="shared" si="104"/>
        <v>350</v>
      </c>
      <c r="X55" s="158">
        <f>'TTM Orignal - With Levers'!H55</f>
        <v>350</v>
      </c>
      <c r="Y55" s="219">
        <v>0</v>
      </c>
      <c r="Z55" s="88"/>
      <c r="AA55" s="221">
        <f t="shared" si="105"/>
        <v>470</v>
      </c>
      <c r="AB55" s="158">
        <f>'TTM Orignal - With Levers'!I55</f>
        <v>470</v>
      </c>
      <c r="AC55" s="219">
        <v>0</v>
      </c>
      <c r="AD55" s="88"/>
      <c r="AE55" s="256">
        <f t="shared" si="106"/>
        <v>1050</v>
      </c>
      <c r="AF55" s="158">
        <f>'TTM Orignal - With Levers'!J55</f>
        <v>750</v>
      </c>
      <c r="AG55" s="249">
        <v>0.4</v>
      </c>
      <c r="AH55" s="88"/>
      <c r="AI55" s="256">
        <f t="shared" si="107"/>
        <v>1540</v>
      </c>
      <c r="AJ55" s="158">
        <f>'TTM Orignal - With Levers'!K55</f>
        <v>1100</v>
      </c>
      <c r="AK55" s="249">
        <v>0.4</v>
      </c>
      <c r="AL55" s="88"/>
      <c r="AM55" s="256">
        <f t="shared" si="108"/>
        <v>4340</v>
      </c>
      <c r="AN55" s="158">
        <f>'TTM Orignal - With Levers'!L55</f>
        <v>3100</v>
      </c>
      <c r="AO55" s="249">
        <v>0.4</v>
      </c>
      <c r="AP55" s="88"/>
      <c r="AQ55" s="256">
        <f t="shared" si="109"/>
        <v>2982</v>
      </c>
      <c r="AR55" s="158">
        <f>'TTM Orignal - With Levers'!M55</f>
        <v>2130</v>
      </c>
      <c r="AS55" s="249">
        <v>0.4</v>
      </c>
      <c r="AT55" s="88"/>
      <c r="AU55" s="256">
        <f t="shared" si="110"/>
        <v>2842</v>
      </c>
      <c r="AV55" s="158">
        <f>'TTM Orignal - With Levers'!N55</f>
        <v>2030</v>
      </c>
      <c r="AW55" s="249">
        <v>0.4</v>
      </c>
      <c r="AX55" s="88"/>
      <c r="AY55" s="76">
        <f t="shared" si="111"/>
        <v>23615.599999999999</v>
      </c>
      <c r="AZ55" s="294">
        <f t="shared" si="112"/>
        <v>14644</v>
      </c>
      <c r="BA55" s="292">
        <f>'TTM Orignal - With Levers'!V55</f>
        <v>11000</v>
      </c>
      <c r="BB55" s="266"/>
      <c r="BD55" s="208">
        <f t="shared" si="113"/>
        <v>14644</v>
      </c>
      <c r="BE55" s="207">
        <f t="shared" si="114"/>
        <v>14644</v>
      </c>
      <c r="BF55" s="209">
        <f t="shared" si="115"/>
        <v>14644</v>
      </c>
    </row>
    <row r="56" spans="1:58" x14ac:dyDescent="0.3">
      <c r="A56" s="178">
        <v>6140</v>
      </c>
      <c r="B56" s="91" t="s">
        <v>75</v>
      </c>
      <c r="C56" s="221">
        <f t="shared" si="100"/>
        <v>1083</v>
      </c>
      <c r="D56" s="158">
        <f>'TTM Orignal - With Levers'!C56</f>
        <v>1083</v>
      </c>
      <c r="E56" s="219">
        <v>0</v>
      </c>
      <c r="F56" s="88"/>
      <c r="G56" s="221">
        <f t="shared" si="101"/>
        <v>1083</v>
      </c>
      <c r="H56" s="158">
        <f>'TTM Orignal - With Levers'!D56</f>
        <v>1083</v>
      </c>
      <c r="I56" s="219">
        <v>0</v>
      </c>
      <c r="J56" s="88"/>
      <c r="K56" s="221">
        <f t="shared" si="116"/>
        <v>1083</v>
      </c>
      <c r="L56" s="158">
        <f>'TTM Orignal - With Levers'!E56</f>
        <v>1083</v>
      </c>
      <c r="M56" s="219">
        <v>0</v>
      </c>
      <c r="N56" s="88"/>
      <c r="O56" s="221">
        <f t="shared" si="102"/>
        <v>1083</v>
      </c>
      <c r="P56" s="158">
        <f>'TTM Orignal - With Levers'!F56</f>
        <v>1083</v>
      </c>
      <c r="Q56" s="219">
        <v>0</v>
      </c>
      <c r="R56" s="88"/>
      <c r="S56" s="221">
        <f t="shared" si="103"/>
        <v>1083</v>
      </c>
      <c r="T56" s="158">
        <f>'TTM Orignal - With Levers'!G56</f>
        <v>1083</v>
      </c>
      <c r="U56" s="219">
        <v>0</v>
      </c>
      <c r="V56" s="88"/>
      <c r="W56" s="221">
        <f t="shared" si="104"/>
        <v>1083</v>
      </c>
      <c r="X56" s="158">
        <f>'TTM Orignal - With Levers'!H56</f>
        <v>1083</v>
      </c>
      <c r="Y56" s="219">
        <v>0</v>
      </c>
      <c r="Z56" s="88"/>
      <c r="AA56" s="221">
        <f t="shared" si="105"/>
        <v>1083</v>
      </c>
      <c r="AB56" s="158">
        <f>'TTM Orignal - With Levers'!I56</f>
        <v>1083</v>
      </c>
      <c r="AC56" s="219">
        <v>0</v>
      </c>
      <c r="AD56" s="88"/>
      <c r="AE56" s="221">
        <f t="shared" si="106"/>
        <v>1083</v>
      </c>
      <c r="AF56" s="158">
        <f>'TTM Orignal - With Levers'!J56</f>
        <v>1083</v>
      </c>
      <c r="AG56" s="219">
        <v>0</v>
      </c>
      <c r="AH56" s="88"/>
      <c r="AI56" s="221">
        <f t="shared" si="107"/>
        <v>1083</v>
      </c>
      <c r="AJ56" s="158">
        <f>'TTM Orignal - With Levers'!K56</f>
        <v>1083</v>
      </c>
      <c r="AK56" s="219">
        <v>0</v>
      </c>
      <c r="AL56" s="88"/>
      <c r="AM56" s="221">
        <f t="shared" si="108"/>
        <v>1083</v>
      </c>
      <c r="AN56" s="158">
        <f>'TTM Orignal - With Levers'!L56</f>
        <v>1083</v>
      </c>
      <c r="AO56" s="219">
        <v>0</v>
      </c>
      <c r="AP56" s="88"/>
      <c r="AQ56" s="221">
        <f t="shared" si="109"/>
        <v>1083</v>
      </c>
      <c r="AR56" s="158">
        <f>'TTM Orignal - With Levers'!M56</f>
        <v>1083</v>
      </c>
      <c r="AS56" s="219">
        <v>0</v>
      </c>
      <c r="AT56" s="88"/>
      <c r="AU56" s="221">
        <f t="shared" si="110"/>
        <v>1087</v>
      </c>
      <c r="AV56" s="158">
        <f>'TTM Orignal - With Levers'!N56</f>
        <v>1087</v>
      </c>
      <c r="AW56" s="219">
        <v>0</v>
      </c>
      <c r="AX56" s="88"/>
      <c r="AY56" s="76">
        <f t="shared" si="111"/>
        <v>24913</v>
      </c>
      <c r="AZ56" s="294">
        <f t="shared" si="112"/>
        <v>13000</v>
      </c>
      <c r="BA56" s="292">
        <f>'TTM Orignal - With Levers'!V56</f>
        <v>13000</v>
      </c>
      <c r="BB56" s="266"/>
      <c r="BD56" s="208">
        <f t="shared" si="113"/>
        <v>13000</v>
      </c>
      <c r="BE56" s="207">
        <f t="shared" si="114"/>
        <v>13000</v>
      </c>
      <c r="BF56" s="209">
        <f t="shared" si="115"/>
        <v>13000</v>
      </c>
    </row>
    <row r="57" spans="1:58" x14ac:dyDescent="0.3">
      <c r="A57" s="176">
        <v>6150</v>
      </c>
      <c r="B57" s="91" t="s">
        <v>76</v>
      </c>
      <c r="C57" s="221">
        <f t="shared" si="100"/>
        <v>1250</v>
      </c>
      <c r="D57" s="158">
        <f>'TTM Orignal - With Levers'!C57</f>
        <v>1250</v>
      </c>
      <c r="E57" s="219">
        <v>0</v>
      </c>
      <c r="F57" s="88"/>
      <c r="G57" s="221">
        <f t="shared" si="101"/>
        <v>1150</v>
      </c>
      <c r="H57" s="158">
        <f>'TTM Orignal - With Levers'!D57</f>
        <v>1150</v>
      </c>
      <c r="I57" s="219">
        <v>0</v>
      </c>
      <c r="J57" s="88"/>
      <c r="K57" s="221">
        <f t="shared" si="116"/>
        <v>1150</v>
      </c>
      <c r="L57" s="158">
        <f>'TTM Orignal - With Levers'!E57</f>
        <v>1150</v>
      </c>
      <c r="M57" s="219">
        <v>0</v>
      </c>
      <c r="N57" s="88"/>
      <c r="O57" s="221">
        <f t="shared" si="102"/>
        <v>850</v>
      </c>
      <c r="P57" s="158">
        <f>'TTM Orignal - With Levers'!F57</f>
        <v>850</v>
      </c>
      <c r="Q57" s="219">
        <v>0</v>
      </c>
      <c r="R57" s="88"/>
      <c r="S57" s="221">
        <f t="shared" si="103"/>
        <v>700</v>
      </c>
      <c r="T57" s="158">
        <f>'TTM Orignal - With Levers'!G57</f>
        <v>700</v>
      </c>
      <c r="U57" s="219">
        <v>0</v>
      </c>
      <c r="V57" s="88"/>
      <c r="W57" s="221">
        <f t="shared" si="104"/>
        <v>1050</v>
      </c>
      <c r="X57" s="158">
        <f>'TTM Orignal - With Levers'!H57</f>
        <v>1050</v>
      </c>
      <c r="Y57" s="219">
        <v>0</v>
      </c>
      <c r="Z57" s="88"/>
      <c r="AA57" s="221">
        <f t="shared" si="105"/>
        <v>1300</v>
      </c>
      <c r="AB57" s="158">
        <f>'TTM Orignal - With Levers'!I57</f>
        <v>1300</v>
      </c>
      <c r="AC57" s="219">
        <v>0</v>
      </c>
      <c r="AD57" s="88"/>
      <c r="AE57" s="221">
        <f t="shared" si="106"/>
        <v>1350</v>
      </c>
      <c r="AF57" s="158">
        <f>'TTM Orignal - With Levers'!J57</f>
        <v>1350</v>
      </c>
      <c r="AG57" s="219">
        <v>0</v>
      </c>
      <c r="AH57" s="88"/>
      <c r="AI57" s="221">
        <f t="shared" si="107"/>
        <v>1000</v>
      </c>
      <c r="AJ57" s="158">
        <f>'TTM Orignal - With Levers'!K57</f>
        <v>1000</v>
      </c>
      <c r="AK57" s="219">
        <v>0</v>
      </c>
      <c r="AL57" s="88"/>
      <c r="AM57" s="221">
        <f t="shared" si="108"/>
        <v>900</v>
      </c>
      <c r="AN57" s="158">
        <f>'TTM Orignal - With Levers'!L57</f>
        <v>900</v>
      </c>
      <c r="AO57" s="219">
        <v>0</v>
      </c>
      <c r="AP57" s="88"/>
      <c r="AQ57" s="221">
        <f t="shared" si="109"/>
        <v>1100</v>
      </c>
      <c r="AR57" s="158">
        <f>'TTM Orignal - With Levers'!M57</f>
        <v>1100</v>
      </c>
      <c r="AS57" s="219">
        <v>0</v>
      </c>
      <c r="AT57" s="88"/>
      <c r="AU57" s="221">
        <f t="shared" si="110"/>
        <v>1200</v>
      </c>
      <c r="AV57" s="158">
        <f>'TTM Orignal - With Levers'!N57</f>
        <v>1200</v>
      </c>
      <c r="AW57" s="219">
        <v>0</v>
      </c>
      <c r="AX57" s="88"/>
      <c r="AY57" s="76">
        <f t="shared" si="111"/>
        <v>24800</v>
      </c>
      <c r="AZ57" s="294">
        <f t="shared" si="112"/>
        <v>13000</v>
      </c>
      <c r="BA57" s="292">
        <f>'TTM Orignal - With Levers'!V57</f>
        <v>13000</v>
      </c>
      <c r="BB57" s="266"/>
      <c r="BD57" s="208">
        <f t="shared" si="113"/>
        <v>13000</v>
      </c>
      <c r="BE57" s="207">
        <f t="shared" si="114"/>
        <v>13000</v>
      </c>
      <c r="BF57" s="209">
        <f t="shared" si="115"/>
        <v>13000</v>
      </c>
    </row>
    <row r="58" spans="1:58" x14ac:dyDescent="0.3">
      <c r="A58" s="178">
        <v>6160</v>
      </c>
      <c r="B58" s="91" t="s">
        <v>77</v>
      </c>
      <c r="C58" s="221">
        <f t="shared" si="100"/>
        <v>1200</v>
      </c>
      <c r="D58" s="158">
        <f>'TTM Orignal - With Levers'!C58</f>
        <v>1200</v>
      </c>
      <c r="E58" s="219">
        <v>0</v>
      </c>
      <c r="F58" s="88"/>
      <c r="G58" s="221">
        <f t="shared" si="101"/>
        <v>800</v>
      </c>
      <c r="H58" s="158">
        <f>'TTM Orignal - With Levers'!D58</f>
        <v>800</v>
      </c>
      <c r="I58" s="219">
        <v>0</v>
      </c>
      <c r="J58" s="88"/>
      <c r="K58" s="221">
        <f t="shared" si="116"/>
        <v>900</v>
      </c>
      <c r="L58" s="158">
        <f>'TTM Orignal - With Levers'!E58</f>
        <v>900</v>
      </c>
      <c r="M58" s="219">
        <v>0</v>
      </c>
      <c r="N58" s="88"/>
      <c r="O58" s="221">
        <f t="shared" si="102"/>
        <v>1100</v>
      </c>
      <c r="P58" s="158">
        <f>'TTM Orignal - With Levers'!F58</f>
        <v>1100</v>
      </c>
      <c r="Q58" s="219">
        <v>0</v>
      </c>
      <c r="R58" s="88"/>
      <c r="S58" s="221">
        <f t="shared" si="103"/>
        <v>500</v>
      </c>
      <c r="T58" s="158">
        <f>'TTM Orignal - With Levers'!G58</f>
        <v>500</v>
      </c>
      <c r="U58" s="219">
        <v>0</v>
      </c>
      <c r="V58" s="88"/>
      <c r="W58" s="221">
        <f t="shared" si="104"/>
        <v>1500</v>
      </c>
      <c r="X58" s="158">
        <f>'TTM Orignal - With Levers'!H58</f>
        <v>1500</v>
      </c>
      <c r="Y58" s="219">
        <v>0</v>
      </c>
      <c r="Z58" s="88"/>
      <c r="AA58" s="221">
        <f t="shared" si="105"/>
        <v>1000</v>
      </c>
      <c r="AB58" s="158">
        <f>'TTM Orignal - With Levers'!I58</f>
        <v>1000</v>
      </c>
      <c r="AC58" s="219">
        <v>0</v>
      </c>
      <c r="AD58" s="88"/>
      <c r="AE58" s="221">
        <f t="shared" si="106"/>
        <v>1000</v>
      </c>
      <c r="AF58" s="158">
        <f>'TTM Orignal - With Levers'!J58</f>
        <v>1000</v>
      </c>
      <c r="AG58" s="219">
        <v>0</v>
      </c>
      <c r="AH58" s="88"/>
      <c r="AI58" s="221">
        <f t="shared" si="107"/>
        <v>700</v>
      </c>
      <c r="AJ58" s="158">
        <f>'TTM Orignal - With Levers'!K58</f>
        <v>700</v>
      </c>
      <c r="AK58" s="219">
        <v>0</v>
      </c>
      <c r="AL58" s="88"/>
      <c r="AM58" s="221">
        <f t="shared" si="108"/>
        <v>1300</v>
      </c>
      <c r="AN58" s="158">
        <f>'TTM Orignal - With Levers'!L58</f>
        <v>1300</v>
      </c>
      <c r="AO58" s="219">
        <v>0</v>
      </c>
      <c r="AP58" s="88"/>
      <c r="AQ58" s="221">
        <f t="shared" si="109"/>
        <v>1100</v>
      </c>
      <c r="AR58" s="158">
        <f>'TTM Orignal - With Levers'!M58</f>
        <v>1100</v>
      </c>
      <c r="AS58" s="219">
        <v>0</v>
      </c>
      <c r="AT58" s="88"/>
      <c r="AU58" s="221">
        <f t="shared" si="110"/>
        <v>900</v>
      </c>
      <c r="AV58" s="158">
        <f>'TTM Orignal - With Levers'!N58</f>
        <v>900</v>
      </c>
      <c r="AW58" s="219">
        <v>0</v>
      </c>
      <c r="AX58" s="88"/>
      <c r="AY58" s="76">
        <f t="shared" si="111"/>
        <v>23100</v>
      </c>
      <c r="AZ58" s="294">
        <f t="shared" si="112"/>
        <v>12000</v>
      </c>
      <c r="BA58" s="292">
        <f>'TTM Orignal - With Levers'!V58</f>
        <v>12000</v>
      </c>
      <c r="BB58" s="266"/>
      <c r="BD58" s="208">
        <f t="shared" si="113"/>
        <v>12000</v>
      </c>
      <c r="BE58" s="207">
        <f t="shared" si="114"/>
        <v>12000</v>
      </c>
      <c r="BF58" s="209">
        <f t="shared" si="115"/>
        <v>12000</v>
      </c>
    </row>
    <row r="59" spans="1:58" x14ac:dyDescent="0.3">
      <c r="A59" s="176">
        <v>6170</v>
      </c>
      <c r="B59" s="75" t="s">
        <v>78</v>
      </c>
      <c r="C59" s="221">
        <f t="shared" si="100"/>
        <v>2470</v>
      </c>
      <c r="D59" s="158">
        <f>'TTM Orignal - With Levers'!C59</f>
        <v>2470</v>
      </c>
      <c r="E59" s="219">
        <v>0</v>
      </c>
      <c r="F59" s="77"/>
      <c r="G59" s="221">
        <f t="shared" si="101"/>
        <v>760</v>
      </c>
      <c r="H59" s="158">
        <f>'TTM Orignal - With Levers'!D59</f>
        <v>760</v>
      </c>
      <c r="I59" s="219">
        <v>0</v>
      </c>
      <c r="J59" s="77"/>
      <c r="K59" s="221">
        <f t="shared" si="116"/>
        <v>1520</v>
      </c>
      <c r="L59" s="158">
        <f>'TTM Orignal - With Levers'!E59</f>
        <v>1520</v>
      </c>
      <c r="M59" s="219">
        <v>0</v>
      </c>
      <c r="N59" s="77"/>
      <c r="O59" s="221">
        <f t="shared" si="102"/>
        <v>950</v>
      </c>
      <c r="P59" s="158">
        <f>'TTM Orignal - With Levers'!F59</f>
        <v>950</v>
      </c>
      <c r="Q59" s="219">
        <v>0</v>
      </c>
      <c r="R59" s="77"/>
      <c r="S59" s="221">
        <f t="shared" si="103"/>
        <v>760</v>
      </c>
      <c r="T59" s="158">
        <f>'TTM Orignal - With Levers'!G59</f>
        <v>760</v>
      </c>
      <c r="U59" s="219">
        <v>0</v>
      </c>
      <c r="V59" s="77"/>
      <c r="W59" s="221">
        <f t="shared" si="104"/>
        <v>950</v>
      </c>
      <c r="X59" s="158">
        <f>'TTM Orignal - With Levers'!H59</f>
        <v>950</v>
      </c>
      <c r="Y59" s="219">
        <v>0</v>
      </c>
      <c r="Z59" s="77"/>
      <c r="AA59" s="221">
        <f t="shared" si="105"/>
        <v>1330</v>
      </c>
      <c r="AB59" s="158">
        <f>'TTM Orignal - With Levers'!I59</f>
        <v>1330</v>
      </c>
      <c r="AC59" s="219">
        <v>0</v>
      </c>
      <c r="AD59" s="77"/>
      <c r="AE59" s="221">
        <f t="shared" si="106"/>
        <v>1900</v>
      </c>
      <c r="AF59" s="158">
        <f>'TTM Orignal - With Levers'!J59</f>
        <v>1900</v>
      </c>
      <c r="AG59" s="219">
        <v>0</v>
      </c>
      <c r="AH59" s="77"/>
      <c r="AI59" s="221">
        <f t="shared" si="107"/>
        <v>1140</v>
      </c>
      <c r="AJ59" s="158">
        <f>'TTM Orignal - With Levers'!K59</f>
        <v>1140</v>
      </c>
      <c r="AK59" s="219">
        <v>0</v>
      </c>
      <c r="AL59" s="77"/>
      <c r="AM59" s="221">
        <f t="shared" si="108"/>
        <v>3230</v>
      </c>
      <c r="AN59" s="158">
        <f>'TTM Orignal - With Levers'!L59</f>
        <v>3230</v>
      </c>
      <c r="AO59" s="219">
        <v>0</v>
      </c>
      <c r="AP59" s="77"/>
      <c r="AQ59" s="221">
        <f t="shared" si="109"/>
        <v>3040</v>
      </c>
      <c r="AR59" s="158">
        <f>'TTM Orignal - With Levers'!M59</f>
        <v>3040</v>
      </c>
      <c r="AS59" s="219">
        <v>0</v>
      </c>
      <c r="AT59" s="77"/>
      <c r="AU59" s="221">
        <f t="shared" si="110"/>
        <v>950</v>
      </c>
      <c r="AV59" s="158">
        <f>'TTM Orignal - With Levers'!N59</f>
        <v>950</v>
      </c>
      <c r="AW59" s="219">
        <v>0</v>
      </c>
      <c r="AX59" s="77"/>
      <c r="AY59" s="76">
        <f t="shared" si="111"/>
        <v>37050</v>
      </c>
      <c r="AZ59" s="294">
        <f t="shared" si="112"/>
        <v>19000</v>
      </c>
      <c r="BA59" s="292">
        <f>'TTM Orignal - With Levers'!V59</f>
        <v>19000</v>
      </c>
      <c r="BB59" s="266"/>
      <c r="BD59" s="208">
        <f t="shared" si="113"/>
        <v>19000</v>
      </c>
      <c r="BE59" s="207">
        <f t="shared" si="114"/>
        <v>19000</v>
      </c>
      <c r="BF59" s="209">
        <f t="shared" si="115"/>
        <v>19000</v>
      </c>
    </row>
    <row r="60" spans="1:58" x14ac:dyDescent="0.3">
      <c r="A60" s="178">
        <v>6180</v>
      </c>
      <c r="B60" s="91" t="s">
        <v>79</v>
      </c>
      <c r="C60" s="221">
        <f t="shared" si="100"/>
        <v>250</v>
      </c>
      <c r="D60" s="158">
        <f>'TTM Orignal - With Levers'!C60</f>
        <v>250</v>
      </c>
      <c r="E60" s="219">
        <v>0</v>
      </c>
      <c r="F60" s="88"/>
      <c r="G60" s="221">
        <f t="shared" si="101"/>
        <v>250</v>
      </c>
      <c r="H60" s="158">
        <f>'TTM Orignal - With Levers'!D60</f>
        <v>250</v>
      </c>
      <c r="I60" s="219">
        <v>0</v>
      </c>
      <c r="J60" s="88"/>
      <c r="K60" s="221">
        <f t="shared" si="116"/>
        <v>250</v>
      </c>
      <c r="L60" s="158">
        <f>'TTM Orignal - With Levers'!E60</f>
        <v>250</v>
      </c>
      <c r="M60" s="219">
        <v>0</v>
      </c>
      <c r="N60" s="88"/>
      <c r="O60" s="221">
        <f t="shared" si="102"/>
        <v>250</v>
      </c>
      <c r="P60" s="158">
        <f>'TTM Orignal - With Levers'!F60</f>
        <v>250</v>
      </c>
      <c r="Q60" s="219">
        <v>0</v>
      </c>
      <c r="R60" s="88"/>
      <c r="S60" s="221">
        <f t="shared" si="103"/>
        <v>250</v>
      </c>
      <c r="T60" s="158">
        <f>'TTM Orignal - With Levers'!G60</f>
        <v>250</v>
      </c>
      <c r="U60" s="219">
        <v>0</v>
      </c>
      <c r="V60" s="88"/>
      <c r="W60" s="221">
        <f t="shared" si="104"/>
        <v>250</v>
      </c>
      <c r="X60" s="158">
        <f>'TTM Orignal - With Levers'!H60</f>
        <v>250</v>
      </c>
      <c r="Y60" s="219">
        <v>0</v>
      </c>
      <c r="Z60" s="88"/>
      <c r="AA60" s="221">
        <f t="shared" si="105"/>
        <v>250</v>
      </c>
      <c r="AB60" s="158">
        <f>'TTM Orignal - With Levers'!I60</f>
        <v>250</v>
      </c>
      <c r="AC60" s="219">
        <v>0</v>
      </c>
      <c r="AD60" s="88"/>
      <c r="AE60" s="221">
        <f t="shared" si="106"/>
        <v>250</v>
      </c>
      <c r="AF60" s="158">
        <f>'TTM Orignal - With Levers'!J60</f>
        <v>250</v>
      </c>
      <c r="AG60" s="219">
        <v>0</v>
      </c>
      <c r="AH60" s="88"/>
      <c r="AI60" s="221">
        <f t="shared" si="107"/>
        <v>250</v>
      </c>
      <c r="AJ60" s="158">
        <f>'TTM Orignal - With Levers'!K60</f>
        <v>250</v>
      </c>
      <c r="AK60" s="219">
        <v>0</v>
      </c>
      <c r="AL60" s="88"/>
      <c r="AM60" s="221">
        <f t="shared" si="108"/>
        <v>250</v>
      </c>
      <c r="AN60" s="158">
        <f>'TTM Orignal - With Levers'!L60</f>
        <v>250</v>
      </c>
      <c r="AO60" s="219">
        <v>0</v>
      </c>
      <c r="AP60" s="88"/>
      <c r="AQ60" s="221">
        <f t="shared" si="109"/>
        <v>250</v>
      </c>
      <c r="AR60" s="158">
        <f>'TTM Orignal - With Levers'!M60</f>
        <v>250</v>
      </c>
      <c r="AS60" s="219">
        <v>0</v>
      </c>
      <c r="AT60" s="88"/>
      <c r="AU60" s="221">
        <f t="shared" si="110"/>
        <v>250</v>
      </c>
      <c r="AV60" s="158">
        <f>'TTM Orignal - With Levers'!N60</f>
        <v>250</v>
      </c>
      <c r="AW60" s="219">
        <v>0</v>
      </c>
      <c r="AX60" s="88"/>
      <c r="AY60" s="76">
        <f t="shared" si="111"/>
        <v>5750</v>
      </c>
      <c r="AZ60" s="294">
        <f t="shared" si="112"/>
        <v>3000</v>
      </c>
      <c r="BA60" s="292">
        <f>'TTM Orignal - With Levers'!V60</f>
        <v>3000</v>
      </c>
      <c r="BB60" s="266"/>
      <c r="BD60" s="208">
        <f t="shared" si="113"/>
        <v>3000</v>
      </c>
      <c r="BE60" s="207">
        <f t="shared" si="114"/>
        <v>3000</v>
      </c>
      <c r="BF60" s="209">
        <f t="shared" si="115"/>
        <v>3000</v>
      </c>
    </row>
    <row r="61" spans="1:58" x14ac:dyDescent="0.3">
      <c r="A61" s="176">
        <v>6190</v>
      </c>
      <c r="B61" s="91" t="s">
        <v>80</v>
      </c>
      <c r="C61" s="221">
        <f t="shared" si="100"/>
        <v>250</v>
      </c>
      <c r="D61" s="158">
        <f>'TTM Orignal - With Levers'!C61</f>
        <v>250</v>
      </c>
      <c r="E61" s="219">
        <v>0</v>
      </c>
      <c r="F61" s="88"/>
      <c r="G61" s="221">
        <f t="shared" si="101"/>
        <v>250</v>
      </c>
      <c r="H61" s="158">
        <f>'TTM Orignal - With Levers'!D61</f>
        <v>250</v>
      </c>
      <c r="I61" s="219">
        <v>0</v>
      </c>
      <c r="J61" s="88"/>
      <c r="K61" s="221">
        <f t="shared" si="116"/>
        <v>250</v>
      </c>
      <c r="L61" s="158">
        <f>'TTM Orignal - With Levers'!E61</f>
        <v>250</v>
      </c>
      <c r="M61" s="219">
        <v>0</v>
      </c>
      <c r="N61" s="88"/>
      <c r="O61" s="221">
        <f t="shared" si="102"/>
        <v>250</v>
      </c>
      <c r="P61" s="158">
        <f>'TTM Orignal - With Levers'!F61</f>
        <v>250</v>
      </c>
      <c r="Q61" s="219">
        <v>0</v>
      </c>
      <c r="R61" s="88"/>
      <c r="S61" s="221">
        <f t="shared" si="103"/>
        <v>250</v>
      </c>
      <c r="T61" s="158">
        <f>'TTM Orignal - With Levers'!G61</f>
        <v>250</v>
      </c>
      <c r="U61" s="219">
        <v>0</v>
      </c>
      <c r="V61" s="88"/>
      <c r="W61" s="221">
        <f t="shared" si="104"/>
        <v>250</v>
      </c>
      <c r="X61" s="158">
        <f>'TTM Orignal - With Levers'!H61</f>
        <v>250</v>
      </c>
      <c r="Y61" s="219">
        <v>0</v>
      </c>
      <c r="Z61" s="88"/>
      <c r="AA61" s="221">
        <f t="shared" si="105"/>
        <v>250</v>
      </c>
      <c r="AB61" s="158">
        <f>'TTM Orignal - With Levers'!I61</f>
        <v>250</v>
      </c>
      <c r="AC61" s="219">
        <v>0</v>
      </c>
      <c r="AD61" s="88"/>
      <c r="AE61" s="221">
        <f t="shared" si="106"/>
        <v>250</v>
      </c>
      <c r="AF61" s="158">
        <f>'TTM Orignal - With Levers'!J61</f>
        <v>250</v>
      </c>
      <c r="AG61" s="219">
        <v>0</v>
      </c>
      <c r="AH61" s="88"/>
      <c r="AI61" s="221">
        <f t="shared" si="107"/>
        <v>250</v>
      </c>
      <c r="AJ61" s="158">
        <f>'TTM Orignal - With Levers'!K61</f>
        <v>250</v>
      </c>
      <c r="AK61" s="219">
        <v>0</v>
      </c>
      <c r="AL61" s="88"/>
      <c r="AM61" s="221">
        <f t="shared" si="108"/>
        <v>250</v>
      </c>
      <c r="AN61" s="158">
        <f>'TTM Orignal - With Levers'!L61</f>
        <v>250</v>
      </c>
      <c r="AO61" s="219">
        <v>0</v>
      </c>
      <c r="AP61" s="88"/>
      <c r="AQ61" s="221">
        <f t="shared" si="109"/>
        <v>250</v>
      </c>
      <c r="AR61" s="158">
        <f>'TTM Orignal - With Levers'!M61</f>
        <v>250</v>
      </c>
      <c r="AS61" s="219">
        <v>0</v>
      </c>
      <c r="AT61" s="88"/>
      <c r="AU61" s="221">
        <f t="shared" si="110"/>
        <v>250</v>
      </c>
      <c r="AV61" s="158">
        <f>'TTM Orignal - With Levers'!N61</f>
        <v>250</v>
      </c>
      <c r="AW61" s="219">
        <v>0</v>
      </c>
      <c r="AX61" s="88"/>
      <c r="AY61" s="76">
        <f t="shared" si="111"/>
        <v>5750</v>
      </c>
      <c r="AZ61" s="294">
        <f t="shared" si="112"/>
        <v>3000</v>
      </c>
      <c r="BA61" s="292">
        <f>'TTM Orignal - With Levers'!V61</f>
        <v>3000</v>
      </c>
      <c r="BB61" s="266"/>
      <c r="BD61" s="208">
        <f t="shared" si="113"/>
        <v>3000</v>
      </c>
      <c r="BE61" s="207">
        <f t="shared" si="114"/>
        <v>3000</v>
      </c>
      <c r="BF61" s="209">
        <f t="shared" si="115"/>
        <v>3000</v>
      </c>
    </row>
    <row r="62" spans="1:58" x14ac:dyDescent="0.3">
      <c r="A62" s="178">
        <v>6200</v>
      </c>
      <c r="B62" s="93" t="s">
        <v>83</v>
      </c>
      <c r="C62" s="221">
        <f t="shared" si="100"/>
        <v>4166.666666666667</v>
      </c>
      <c r="D62" s="158">
        <f>'TTM Orignal - With Levers'!C62</f>
        <v>4166.666666666667</v>
      </c>
      <c r="E62" s="219">
        <v>0</v>
      </c>
      <c r="F62" s="88"/>
      <c r="G62" s="221">
        <f t="shared" si="101"/>
        <v>4166.666666666667</v>
      </c>
      <c r="H62" s="158">
        <f>'TTM Orignal - With Levers'!D62</f>
        <v>4166.666666666667</v>
      </c>
      <c r="I62" s="219">
        <v>0</v>
      </c>
      <c r="J62" s="88"/>
      <c r="K62" s="221">
        <f t="shared" si="116"/>
        <v>4166.666666666667</v>
      </c>
      <c r="L62" s="158">
        <f>'TTM Orignal - With Levers'!E62</f>
        <v>4166.666666666667</v>
      </c>
      <c r="M62" s="219">
        <v>0</v>
      </c>
      <c r="N62" s="88"/>
      <c r="O62" s="221">
        <f t="shared" si="102"/>
        <v>4166.666666666667</v>
      </c>
      <c r="P62" s="158">
        <f>'TTM Orignal - With Levers'!F62</f>
        <v>4166.666666666667</v>
      </c>
      <c r="Q62" s="219">
        <v>0</v>
      </c>
      <c r="R62" s="88"/>
      <c r="S62" s="221">
        <f t="shared" si="103"/>
        <v>4166.666666666667</v>
      </c>
      <c r="T62" s="158">
        <f>'TTM Orignal - With Levers'!G62</f>
        <v>4166.666666666667</v>
      </c>
      <c r="U62" s="219">
        <v>0</v>
      </c>
      <c r="V62" s="88"/>
      <c r="W62" s="221">
        <f t="shared" si="104"/>
        <v>4166.666666666667</v>
      </c>
      <c r="X62" s="158">
        <f>'TTM Orignal - With Levers'!H62</f>
        <v>4166.666666666667</v>
      </c>
      <c r="Y62" s="219">
        <v>0</v>
      </c>
      <c r="Z62" s="88"/>
      <c r="AA62" s="221">
        <f t="shared" si="105"/>
        <v>4166.666666666667</v>
      </c>
      <c r="AB62" s="158">
        <f>'TTM Orignal - With Levers'!I62</f>
        <v>4166.666666666667</v>
      </c>
      <c r="AC62" s="219">
        <v>0</v>
      </c>
      <c r="AD62" s="88"/>
      <c r="AE62" s="221">
        <f t="shared" si="106"/>
        <v>4166.666666666667</v>
      </c>
      <c r="AF62" s="158">
        <f>'TTM Orignal - With Levers'!J62</f>
        <v>4166.666666666667</v>
      </c>
      <c r="AG62" s="219">
        <v>0</v>
      </c>
      <c r="AH62" s="88"/>
      <c r="AI62" s="221">
        <f t="shared" si="107"/>
        <v>4166.666666666667</v>
      </c>
      <c r="AJ62" s="158">
        <f>'TTM Orignal - With Levers'!K62</f>
        <v>4166.666666666667</v>
      </c>
      <c r="AK62" s="219">
        <v>0</v>
      </c>
      <c r="AL62" s="88"/>
      <c r="AM62" s="221">
        <f t="shared" si="108"/>
        <v>4166.666666666667</v>
      </c>
      <c r="AN62" s="158">
        <f>'TTM Orignal - With Levers'!L62</f>
        <v>4166.666666666667</v>
      </c>
      <c r="AO62" s="219">
        <v>0</v>
      </c>
      <c r="AP62" s="88"/>
      <c r="AQ62" s="221">
        <f t="shared" si="109"/>
        <v>4166.666666666667</v>
      </c>
      <c r="AR62" s="158">
        <f>'TTM Orignal - With Levers'!M62</f>
        <v>4166.666666666667</v>
      </c>
      <c r="AS62" s="219">
        <v>0</v>
      </c>
      <c r="AT62" s="88"/>
      <c r="AU62" s="221">
        <f t="shared" si="110"/>
        <v>4166.666666666667</v>
      </c>
      <c r="AV62" s="158">
        <f>'TTM Orignal - With Levers'!N62</f>
        <v>4166.666666666667</v>
      </c>
      <c r="AW62" s="219">
        <v>0</v>
      </c>
      <c r="AX62" s="88"/>
      <c r="AY62" s="76">
        <f t="shared" si="111"/>
        <v>95833.333333333358</v>
      </c>
      <c r="AZ62" s="294">
        <f t="shared" si="112"/>
        <v>49999.999999999993</v>
      </c>
      <c r="BA62" s="292">
        <f>'TTM Orignal - With Levers'!V62</f>
        <v>49999.999999999993</v>
      </c>
      <c r="BB62" s="266"/>
      <c r="BD62" s="208">
        <f t="shared" si="113"/>
        <v>49999.999999999993</v>
      </c>
      <c r="BE62" s="207">
        <f t="shared" si="114"/>
        <v>49999.999999999993</v>
      </c>
      <c r="BF62" s="209">
        <f t="shared" si="115"/>
        <v>49999.999999999993</v>
      </c>
    </row>
    <row r="63" spans="1:58" x14ac:dyDescent="0.3">
      <c r="A63" s="176">
        <v>6210</v>
      </c>
      <c r="B63" s="91" t="s">
        <v>84</v>
      </c>
      <c r="C63" s="221">
        <f t="shared" si="100"/>
        <v>1683.5981519884429</v>
      </c>
      <c r="D63" s="158">
        <f>'TTM Orignal - With Levers'!C63</f>
        <v>1683.5981519884429</v>
      </c>
      <c r="E63" s="219">
        <v>0</v>
      </c>
      <c r="F63" s="88"/>
      <c r="G63" s="221">
        <f t="shared" si="101"/>
        <v>1632.3372245385917</v>
      </c>
      <c r="H63" s="158">
        <f>'TTM Orignal - With Levers'!D63</f>
        <v>1632.3372245385917</v>
      </c>
      <c r="I63" s="219">
        <v>0</v>
      </c>
      <c r="J63" s="88"/>
      <c r="K63" s="221">
        <f t="shared" si="116"/>
        <v>1447.4794575846822</v>
      </c>
      <c r="L63" s="158">
        <f>'TTM Orignal - With Levers'!E63</f>
        <v>1447.4794575846822</v>
      </c>
      <c r="M63" s="219">
        <v>0</v>
      </c>
      <c r="N63" s="88"/>
      <c r="O63" s="221">
        <f t="shared" si="102"/>
        <v>1383.8567469045513</v>
      </c>
      <c r="P63" s="158">
        <f>'TTM Orignal - With Levers'!F63</f>
        <v>1383.8567469045513</v>
      </c>
      <c r="Q63" s="219">
        <v>0</v>
      </c>
      <c r="R63" s="88"/>
      <c r="S63" s="221">
        <f t="shared" si="103"/>
        <v>1200.0386874952258</v>
      </c>
      <c r="T63" s="158">
        <f>'TTM Orignal - With Levers'!G63</f>
        <v>1200.0386874952258</v>
      </c>
      <c r="U63" s="219">
        <v>0</v>
      </c>
      <c r="V63" s="88"/>
      <c r="W63" s="221">
        <f t="shared" si="104"/>
        <v>1293.8301012991162</v>
      </c>
      <c r="X63" s="158">
        <f>'TTM Orignal - With Levers'!H63</f>
        <v>1293.8301012991162</v>
      </c>
      <c r="Y63" s="219">
        <v>0</v>
      </c>
      <c r="Z63" s="88"/>
      <c r="AA63" s="221">
        <f t="shared" si="105"/>
        <v>1282.1636925077585</v>
      </c>
      <c r="AB63" s="158">
        <f>'TTM Orignal - With Levers'!I63</f>
        <v>1282.1636925077585</v>
      </c>
      <c r="AC63" s="219">
        <v>0</v>
      </c>
      <c r="AD63" s="88"/>
      <c r="AE63" s="221">
        <f t="shared" si="106"/>
        <v>1435.9155005148393</v>
      </c>
      <c r="AF63" s="158">
        <f>'TTM Orignal - With Levers'!J63</f>
        <v>1435.9155005148393</v>
      </c>
      <c r="AG63" s="219">
        <v>0</v>
      </c>
      <c r="AH63" s="88"/>
      <c r="AI63" s="221">
        <f t="shared" si="107"/>
        <v>1368.6034939519518</v>
      </c>
      <c r="AJ63" s="158">
        <f>'TTM Orignal - With Levers'!K63</f>
        <v>1368.6034939519518</v>
      </c>
      <c r="AK63" s="219">
        <v>0</v>
      </c>
      <c r="AL63" s="88"/>
      <c r="AM63" s="221">
        <f t="shared" si="108"/>
        <v>1666.2578485623956</v>
      </c>
      <c r="AN63" s="158">
        <f>'TTM Orignal - With Levers'!L63</f>
        <v>1666.2578485623956</v>
      </c>
      <c r="AO63" s="219">
        <v>0</v>
      </c>
      <c r="AP63" s="88"/>
      <c r="AQ63" s="221">
        <f t="shared" si="109"/>
        <v>1816.047974870675</v>
      </c>
      <c r="AR63" s="158">
        <f>'TTM Orignal - With Levers'!M63</f>
        <v>1816.047974870675</v>
      </c>
      <c r="AS63" s="219">
        <v>0</v>
      </c>
      <c r="AT63" s="88"/>
      <c r="AU63" s="221">
        <f t="shared" si="110"/>
        <v>1622.8507705101561</v>
      </c>
      <c r="AV63" s="158">
        <f>'TTM Orignal - With Levers'!N63</f>
        <v>1622.8507705101561</v>
      </c>
      <c r="AW63" s="219">
        <v>0</v>
      </c>
      <c r="AX63" s="88"/>
      <c r="AY63" s="88">
        <f t="shared" ref="AY63" si="117">SUM(AY62*0.1059)</f>
        <v>10148.750000000002</v>
      </c>
      <c r="AZ63" s="294">
        <f t="shared" si="112"/>
        <v>17832.979650728386</v>
      </c>
      <c r="BA63" s="292">
        <f>'TTM Orignal - With Levers'!V63</f>
        <v>17832.979650728386</v>
      </c>
      <c r="BB63" s="266"/>
      <c r="BD63" s="208">
        <f t="shared" si="113"/>
        <v>17832.979650728386</v>
      </c>
      <c r="BE63" s="207">
        <f t="shared" si="114"/>
        <v>17832.979650728386</v>
      </c>
      <c r="BF63" s="209">
        <f t="shared" si="115"/>
        <v>17832.979650728386</v>
      </c>
    </row>
    <row r="64" spans="1:58" x14ac:dyDescent="0.3">
      <c r="A64" s="178">
        <v>6220</v>
      </c>
      <c r="B64" s="91" t="s">
        <v>85</v>
      </c>
      <c r="C64" s="221">
        <f t="shared" si="100"/>
        <v>1550</v>
      </c>
      <c r="D64" s="158">
        <f>'TTM Orignal - With Levers'!C64</f>
        <v>1550</v>
      </c>
      <c r="E64" s="219">
        <v>0</v>
      </c>
      <c r="F64" s="88"/>
      <c r="G64" s="221">
        <f t="shared" si="101"/>
        <v>1550</v>
      </c>
      <c r="H64" s="158">
        <f>'TTM Orignal - With Levers'!D64</f>
        <v>1550</v>
      </c>
      <c r="I64" s="219">
        <v>0</v>
      </c>
      <c r="J64" s="88"/>
      <c r="K64" s="221">
        <f t="shared" si="116"/>
        <v>1550</v>
      </c>
      <c r="L64" s="158">
        <f>'TTM Orignal - With Levers'!E64</f>
        <v>1550</v>
      </c>
      <c r="M64" s="219">
        <v>0</v>
      </c>
      <c r="N64" s="88"/>
      <c r="O64" s="221">
        <f t="shared" si="102"/>
        <v>1550</v>
      </c>
      <c r="P64" s="158">
        <f>'TTM Orignal - With Levers'!F64</f>
        <v>1550</v>
      </c>
      <c r="Q64" s="219">
        <v>0</v>
      </c>
      <c r="R64" s="88"/>
      <c r="S64" s="221">
        <f t="shared" si="103"/>
        <v>1550</v>
      </c>
      <c r="T64" s="158">
        <f>'TTM Orignal - With Levers'!G64</f>
        <v>1550</v>
      </c>
      <c r="U64" s="219">
        <v>0</v>
      </c>
      <c r="V64" s="88"/>
      <c r="W64" s="221">
        <f t="shared" si="104"/>
        <v>1550</v>
      </c>
      <c r="X64" s="158">
        <f>'TTM Orignal - With Levers'!H64</f>
        <v>1550</v>
      </c>
      <c r="Y64" s="219">
        <v>0</v>
      </c>
      <c r="Z64" s="88"/>
      <c r="AA64" s="221">
        <f t="shared" si="105"/>
        <v>1550</v>
      </c>
      <c r="AB64" s="158">
        <f>'TTM Orignal - With Levers'!I64</f>
        <v>1550</v>
      </c>
      <c r="AC64" s="219">
        <v>0</v>
      </c>
      <c r="AD64" s="88"/>
      <c r="AE64" s="221">
        <f t="shared" si="106"/>
        <v>1550</v>
      </c>
      <c r="AF64" s="158">
        <f>'TTM Orignal - With Levers'!J64</f>
        <v>1550</v>
      </c>
      <c r="AG64" s="219">
        <v>0</v>
      </c>
      <c r="AH64" s="88"/>
      <c r="AI64" s="221">
        <f t="shared" si="107"/>
        <v>1550</v>
      </c>
      <c r="AJ64" s="158">
        <f>'TTM Orignal - With Levers'!K64</f>
        <v>1550</v>
      </c>
      <c r="AK64" s="219">
        <v>0</v>
      </c>
      <c r="AL64" s="88"/>
      <c r="AM64" s="221">
        <f t="shared" si="108"/>
        <v>1550</v>
      </c>
      <c r="AN64" s="158">
        <f>'TTM Orignal - With Levers'!L64</f>
        <v>1550</v>
      </c>
      <c r="AO64" s="219">
        <v>0</v>
      </c>
      <c r="AP64" s="88"/>
      <c r="AQ64" s="221">
        <f t="shared" si="109"/>
        <v>1550</v>
      </c>
      <c r="AR64" s="158">
        <f>'TTM Orignal - With Levers'!M64</f>
        <v>1550</v>
      </c>
      <c r="AS64" s="219">
        <v>0</v>
      </c>
      <c r="AT64" s="88"/>
      <c r="AU64" s="221">
        <f t="shared" si="110"/>
        <v>1550</v>
      </c>
      <c r="AV64" s="158">
        <f>'TTM Orignal - With Levers'!N64</f>
        <v>1550</v>
      </c>
      <c r="AW64" s="219">
        <v>0</v>
      </c>
      <c r="AX64" s="88"/>
      <c r="AY64" s="76">
        <f t="shared" si="111"/>
        <v>35650</v>
      </c>
      <c r="AZ64" s="294">
        <f t="shared" si="112"/>
        <v>18600</v>
      </c>
      <c r="BA64" s="292">
        <f>'TTM Orignal - With Levers'!V64</f>
        <v>18600</v>
      </c>
      <c r="BB64" s="266"/>
      <c r="BD64" s="208">
        <f t="shared" si="113"/>
        <v>18600</v>
      </c>
      <c r="BE64" s="207">
        <f t="shared" si="114"/>
        <v>18600</v>
      </c>
      <c r="BF64" s="209">
        <f t="shared" si="115"/>
        <v>18600</v>
      </c>
    </row>
    <row r="65" spans="1:59" x14ac:dyDescent="0.3">
      <c r="A65" s="176">
        <v>6230</v>
      </c>
      <c r="B65" s="75" t="s">
        <v>86</v>
      </c>
      <c r="C65" s="221">
        <f t="shared" si="100"/>
        <v>225</v>
      </c>
      <c r="D65" s="158">
        <f>'TTM Orignal - With Levers'!C65</f>
        <v>225</v>
      </c>
      <c r="E65" s="219">
        <v>0</v>
      </c>
      <c r="F65" s="88"/>
      <c r="G65" s="221">
        <f t="shared" si="101"/>
        <v>225</v>
      </c>
      <c r="H65" s="158">
        <f>'TTM Orignal - With Levers'!D65</f>
        <v>225</v>
      </c>
      <c r="I65" s="219">
        <v>0</v>
      </c>
      <c r="J65" s="88"/>
      <c r="K65" s="221">
        <f t="shared" si="116"/>
        <v>225</v>
      </c>
      <c r="L65" s="158">
        <f>'TTM Orignal - With Levers'!E65</f>
        <v>225</v>
      </c>
      <c r="M65" s="219">
        <v>0</v>
      </c>
      <c r="N65" s="88"/>
      <c r="O65" s="221">
        <f t="shared" si="102"/>
        <v>225</v>
      </c>
      <c r="P65" s="158">
        <f>'TTM Orignal - With Levers'!F65</f>
        <v>225</v>
      </c>
      <c r="Q65" s="219">
        <v>0</v>
      </c>
      <c r="R65" s="88"/>
      <c r="S65" s="221">
        <f t="shared" si="103"/>
        <v>225</v>
      </c>
      <c r="T65" s="158">
        <f>'TTM Orignal - With Levers'!G65</f>
        <v>225</v>
      </c>
      <c r="U65" s="219">
        <v>0</v>
      </c>
      <c r="V65" s="88"/>
      <c r="W65" s="221">
        <f t="shared" si="104"/>
        <v>225</v>
      </c>
      <c r="X65" s="158">
        <f>'TTM Orignal - With Levers'!H65</f>
        <v>225</v>
      </c>
      <c r="Y65" s="219">
        <v>0</v>
      </c>
      <c r="Z65" s="88"/>
      <c r="AA65" s="221">
        <f t="shared" si="105"/>
        <v>225</v>
      </c>
      <c r="AB65" s="158">
        <f>'TTM Orignal - With Levers'!I65</f>
        <v>225</v>
      </c>
      <c r="AC65" s="219">
        <v>0</v>
      </c>
      <c r="AD65" s="88"/>
      <c r="AE65" s="221">
        <f t="shared" si="106"/>
        <v>225</v>
      </c>
      <c r="AF65" s="158">
        <f>'TTM Orignal - With Levers'!J65</f>
        <v>225</v>
      </c>
      <c r="AG65" s="219">
        <v>0</v>
      </c>
      <c r="AH65" s="88"/>
      <c r="AI65" s="221">
        <f t="shared" si="107"/>
        <v>225</v>
      </c>
      <c r="AJ65" s="158">
        <f>'TTM Orignal - With Levers'!K65</f>
        <v>225</v>
      </c>
      <c r="AK65" s="219">
        <v>0</v>
      </c>
      <c r="AL65" s="88"/>
      <c r="AM65" s="221">
        <f t="shared" si="108"/>
        <v>225</v>
      </c>
      <c r="AN65" s="158">
        <f>'TTM Orignal - With Levers'!L65</f>
        <v>225</v>
      </c>
      <c r="AO65" s="219">
        <v>0</v>
      </c>
      <c r="AP65" s="88"/>
      <c r="AQ65" s="221">
        <f t="shared" si="109"/>
        <v>225</v>
      </c>
      <c r="AR65" s="158">
        <f>'TTM Orignal - With Levers'!M65</f>
        <v>225</v>
      </c>
      <c r="AS65" s="219">
        <v>0</v>
      </c>
      <c r="AT65" s="88"/>
      <c r="AU65" s="221">
        <f t="shared" si="110"/>
        <v>225</v>
      </c>
      <c r="AV65" s="158">
        <f>'TTM Orignal - With Levers'!N65</f>
        <v>225</v>
      </c>
      <c r="AW65" s="219">
        <v>0</v>
      </c>
      <c r="AX65" s="88"/>
      <c r="AY65" s="76">
        <f t="shared" si="111"/>
        <v>5175</v>
      </c>
      <c r="AZ65" s="294">
        <f t="shared" si="112"/>
        <v>2700</v>
      </c>
      <c r="BA65" s="292">
        <f>'TTM Orignal - With Levers'!V65</f>
        <v>2700</v>
      </c>
      <c r="BB65" s="266"/>
      <c r="BD65" s="208">
        <f t="shared" si="113"/>
        <v>2700</v>
      </c>
      <c r="BE65" s="207">
        <f t="shared" si="114"/>
        <v>2700</v>
      </c>
      <c r="BF65" s="209">
        <f t="shared" si="115"/>
        <v>2700</v>
      </c>
    </row>
    <row r="66" spans="1:59" x14ac:dyDescent="0.3">
      <c r="A66" s="178">
        <v>6240</v>
      </c>
      <c r="B66" s="75" t="s">
        <v>87</v>
      </c>
      <c r="C66" s="221">
        <f t="shared" si="100"/>
        <v>0</v>
      </c>
      <c r="D66" s="221">
        <f>'TTM Orignal - With Levers'!C66</f>
        <v>0</v>
      </c>
      <c r="E66" s="219">
        <v>0</v>
      </c>
      <c r="F66" s="159"/>
      <c r="G66" s="221">
        <f t="shared" si="101"/>
        <v>0</v>
      </c>
      <c r="H66" s="158">
        <f>'TTM Orignal - With Levers'!D66</f>
        <v>0</v>
      </c>
      <c r="I66" s="219">
        <v>0</v>
      </c>
      <c r="J66" s="159"/>
      <c r="K66" s="221">
        <f t="shared" si="116"/>
        <v>1200</v>
      </c>
      <c r="L66" s="158">
        <f>'TTM Orignal - With Levers'!E66</f>
        <v>1200</v>
      </c>
      <c r="M66" s="219">
        <v>0</v>
      </c>
      <c r="N66" s="159"/>
      <c r="O66" s="221">
        <f t="shared" si="102"/>
        <v>450</v>
      </c>
      <c r="P66" s="158">
        <f>'TTM Orignal - With Levers'!F66</f>
        <v>450</v>
      </c>
      <c r="Q66" s="219">
        <v>0</v>
      </c>
      <c r="R66" s="159"/>
      <c r="S66" s="221">
        <f t="shared" si="103"/>
        <v>0</v>
      </c>
      <c r="T66" s="158">
        <f>'TTM Orignal - With Levers'!G66</f>
        <v>0</v>
      </c>
      <c r="U66" s="219">
        <v>0</v>
      </c>
      <c r="V66" s="159"/>
      <c r="W66" s="221">
        <f t="shared" si="104"/>
        <v>600</v>
      </c>
      <c r="X66" s="158">
        <f>'TTM Orignal - With Levers'!H66</f>
        <v>600</v>
      </c>
      <c r="Y66" s="219">
        <v>0</v>
      </c>
      <c r="Z66" s="159"/>
      <c r="AA66" s="221">
        <f t="shared" si="105"/>
        <v>0</v>
      </c>
      <c r="AB66" s="158">
        <f>'TTM Orignal - With Levers'!I66</f>
        <v>0</v>
      </c>
      <c r="AC66" s="219">
        <v>0</v>
      </c>
      <c r="AD66" s="159"/>
      <c r="AE66" s="221">
        <f t="shared" si="106"/>
        <v>0</v>
      </c>
      <c r="AF66" s="158">
        <f>'TTM Orignal - With Levers'!J66</f>
        <v>0</v>
      </c>
      <c r="AG66" s="219">
        <v>0</v>
      </c>
      <c r="AH66" s="159"/>
      <c r="AI66" s="221">
        <f t="shared" si="107"/>
        <v>1600</v>
      </c>
      <c r="AJ66" s="158">
        <f>'TTM Orignal - With Levers'!K66</f>
        <v>1600</v>
      </c>
      <c r="AK66" s="219">
        <v>0</v>
      </c>
      <c r="AL66" s="159"/>
      <c r="AM66" s="221">
        <f t="shared" si="108"/>
        <v>0</v>
      </c>
      <c r="AN66" s="158">
        <f>'TTM Orignal - With Levers'!L66</f>
        <v>0</v>
      </c>
      <c r="AO66" s="219">
        <v>0</v>
      </c>
      <c r="AP66" s="159"/>
      <c r="AQ66" s="221">
        <f t="shared" si="109"/>
        <v>0</v>
      </c>
      <c r="AR66" s="158">
        <f>'TTM Orignal - With Levers'!M66</f>
        <v>0</v>
      </c>
      <c r="AS66" s="219">
        <v>0</v>
      </c>
      <c r="AT66" s="159"/>
      <c r="AU66" s="221">
        <f t="shared" si="110"/>
        <v>0</v>
      </c>
      <c r="AV66" s="158">
        <f>'TTM Orignal - With Levers'!N66</f>
        <v>0</v>
      </c>
      <c r="AW66" s="219">
        <v>0</v>
      </c>
      <c r="AX66" s="159"/>
      <c r="AY66" s="76">
        <f t="shared" si="111"/>
        <v>7700</v>
      </c>
      <c r="AZ66" s="294">
        <f t="shared" si="112"/>
        <v>3850</v>
      </c>
      <c r="BA66" s="292">
        <f>'TTM Orignal - With Levers'!V66</f>
        <v>3850</v>
      </c>
      <c r="BB66" s="266"/>
      <c r="BD66" s="208">
        <f t="shared" si="113"/>
        <v>3850</v>
      </c>
      <c r="BE66" s="207">
        <f t="shared" si="114"/>
        <v>3850</v>
      </c>
      <c r="BF66" s="209">
        <f t="shared" si="115"/>
        <v>3850</v>
      </c>
    </row>
    <row r="67" spans="1:59" x14ac:dyDescent="0.3">
      <c r="A67" s="176">
        <v>6250</v>
      </c>
      <c r="B67" s="75" t="s">
        <v>88</v>
      </c>
      <c r="C67" s="221">
        <f t="shared" si="100"/>
        <v>910</v>
      </c>
      <c r="D67" s="158">
        <f>'TTM Orignal - With Levers'!C67</f>
        <v>910</v>
      </c>
      <c r="E67" s="219">
        <v>0</v>
      </c>
      <c r="F67" s="160"/>
      <c r="G67" s="221">
        <f t="shared" si="101"/>
        <v>180</v>
      </c>
      <c r="H67" s="158">
        <f>'TTM Orignal - With Levers'!D67</f>
        <v>180</v>
      </c>
      <c r="I67" s="219">
        <v>0</v>
      </c>
      <c r="J67" s="160"/>
      <c r="K67" s="221">
        <f t="shared" si="116"/>
        <v>360</v>
      </c>
      <c r="L67" s="158">
        <f>'TTM Orignal - With Levers'!E67</f>
        <v>360</v>
      </c>
      <c r="M67" s="219">
        <v>0</v>
      </c>
      <c r="N67" s="160"/>
      <c r="O67" s="221">
        <f t="shared" si="102"/>
        <v>150</v>
      </c>
      <c r="P67" s="158">
        <f>'TTM Orignal - With Levers'!F67</f>
        <v>150</v>
      </c>
      <c r="Q67" s="219">
        <v>0</v>
      </c>
      <c r="R67" s="160"/>
      <c r="S67" s="221">
        <f t="shared" si="103"/>
        <v>250</v>
      </c>
      <c r="T67" s="158">
        <f>'TTM Orignal - With Levers'!G67</f>
        <v>250</v>
      </c>
      <c r="U67" s="219">
        <v>0</v>
      </c>
      <c r="V67" s="160"/>
      <c r="W67" s="221">
        <f t="shared" si="104"/>
        <v>250</v>
      </c>
      <c r="X67" s="158">
        <f>'TTM Orignal - With Levers'!H67</f>
        <v>250</v>
      </c>
      <c r="Y67" s="219">
        <v>0</v>
      </c>
      <c r="Z67" s="160"/>
      <c r="AA67" s="221">
        <f t="shared" si="105"/>
        <v>220</v>
      </c>
      <c r="AB67" s="158">
        <f>'TTM Orignal - With Levers'!I67</f>
        <v>220</v>
      </c>
      <c r="AC67" s="219">
        <v>0</v>
      </c>
      <c r="AD67" s="160"/>
      <c r="AE67" s="221">
        <f t="shared" si="106"/>
        <v>325</v>
      </c>
      <c r="AF67" s="158">
        <f>'TTM Orignal - With Levers'!J67</f>
        <v>325</v>
      </c>
      <c r="AG67" s="219">
        <v>0</v>
      </c>
      <c r="AH67" s="160"/>
      <c r="AI67" s="221">
        <f t="shared" si="107"/>
        <v>130</v>
      </c>
      <c r="AJ67" s="158">
        <f>'TTM Orignal - With Levers'!K67</f>
        <v>130</v>
      </c>
      <c r="AK67" s="219">
        <v>0</v>
      </c>
      <c r="AL67" s="160"/>
      <c r="AM67" s="221">
        <f t="shared" si="108"/>
        <v>900</v>
      </c>
      <c r="AN67" s="158">
        <f>'TTM Orignal - With Levers'!L67</f>
        <v>900</v>
      </c>
      <c r="AO67" s="219">
        <v>0</v>
      </c>
      <c r="AP67" s="160"/>
      <c r="AQ67" s="221">
        <f t="shared" si="109"/>
        <v>1020</v>
      </c>
      <c r="AR67" s="158">
        <f>'TTM Orignal - With Levers'!M67</f>
        <v>1020</v>
      </c>
      <c r="AS67" s="219">
        <v>0</v>
      </c>
      <c r="AT67" s="160"/>
      <c r="AU67" s="221">
        <f t="shared" si="110"/>
        <v>175</v>
      </c>
      <c r="AV67" s="158">
        <f>'TTM Orignal - With Levers'!N67</f>
        <v>175</v>
      </c>
      <c r="AW67" s="219">
        <v>0</v>
      </c>
      <c r="AX67" s="160"/>
      <c r="AY67" s="76">
        <f t="shared" si="111"/>
        <v>9565</v>
      </c>
      <c r="AZ67" s="294">
        <f t="shared" si="112"/>
        <v>4870</v>
      </c>
      <c r="BA67" s="292">
        <f>'TTM Orignal - With Levers'!V67</f>
        <v>4870</v>
      </c>
      <c r="BB67" s="266"/>
      <c r="BD67" s="208">
        <f t="shared" si="113"/>
        <v>4870</v>
      </c>
      <c r="BE67" s="207">
        <f t="shared" si="114"/>
        <v>4870</v>
      </c>
      <c r="BF67" s="209">
        <f t="shared" si="115"/>
        <v>4870</v>
      </c>
    </row>
    <row r="68" spans="1:59" x14ac:dyDescent="0.3">
      <c r="A68" s="178">
        <v>6260</v>
      </c>
      <c r="B68" s="91" t="s">
        <v>89</v>
      </c>
      <c r="C68" s="221">
        <f t="shared" si="100"/>
        <v>1250</v>
      </c>
      <c r="D68" s="158">
        <f>'TTM Orignal - With Levers'!C68</f>
        <v>1250</v>
      </c>
      <c r="E68" s="219">
        <v>0</v>
      </c>
      <c r="F68" s="159"/>
      <c r="G68" s="221">
        <f t="shared" si="101"/>
        <v>1250</v>
      </c>
      <c r="H68" s="158">
        <f>'TTM Orignal - With Levers'!D68</f>
        <v>1250</v>
      </c>
      <c r="I68" s="219">
        <v>0</v>
      </c>
      <c r="J68" s="159"/>
      <c r="K68" s="221">
        <f t="shared" si="116"/>
        <v>1250</v>
      </c>
      <c r="L68" s="158">
        <f>'TTM Orignal - With Levers'!E68</f>
        <v>1250</v>
      </c>
      <c r="M68" s="219">
        <v>0</v>
      </c>
      <c r="N68" s="159"/>
      <c r="O68" s="221">
        <f t="shared" si="102"/>
        <v>1250</v>
      </c>
      <c r="P68" s="158">
        <f>'TTM Orignal - With Levers'!F68</f>
        <v>1250</v>
      </c>
      <c r="Q68" s="219">
        <v>0</v>
      </c>
      <c r="R68" s="159"/>
      <c r="S68" s="221">
        <f t="shared" si="103"/>
        <v>1250</v>
      </c>
      <c r="T68" s="158">
        <f>'TTM Orignal - With Levers'!G68</f>
        <v>1250</v>
      </c>
      <c r="U68" s="219">
        <v>0</v>
      </c>
      <c r="V68" s="159"/>
      <c r="W68" s="221">
        <f t="shared" si="104"/>
        <v>1250</v>
      </c>
      <c r="X68" s="158">
        <f>'TTM Orignal - With Levers'!H68</f>
        <v>1250</v>
      </c>
      <c r="Y68" s="219">
        <v>0</v>
      </c>
      <c r="Z68" s="159"/>
      <c r="AA68" s="221">
        <f t="shared" si="105"/>
        <v>1250</v>
      </c>
      <c r="AB68" s="158">
        <f>'TTM Orignal - With Levers'!I68</f>
        <v>1250</v>
      </c>
      <c r="AC68" s="219">
        <v>0</v>
      </c>
      <c r="AD68" s="159"/>
      <c r="AE68" s="221">
        <f t="shared" si="106"/>
        <v>1250</v>
      </c>
      <c r="AF68" s="158">
        <f>'TTM Orignal - With Levers'!J68</f>
        <v>1250</v>
      </c>
      <c r="AG68" s="219">
        <v>0</v>
      </c>
      <c r="AH68" s="159"/>
      <c r="AI68" s="221">
        <f t="shared" si="107"/>
        <v>1250</v>
      </c>
      <c r="AJ68" s="158">
        <f>'TTM Orignal - With Levers'!K68</f>
        <v>1250</v>
      </c>
      <c r="AK68" s="219">
        <v>0</v>
      </c>
      <c r="AL68" s="159"/>
      <c r="AM68" s="221">
        <f t="shared" si="108"/>
        <v>1250</v>
      </c>
      <c r="AN68" s="158">
        <f>'TTM Orignal - With Levers'!L68</f>
        <v>1250</v>
      </c>
      <c r="AO68" s="219">
        <v>0</v>
      </c>
      <c r="AP68" s="159"/>
      <c r="AQ68" s="221">
        <f t="shared" si="109"/>
        <v>1250</v>
      </c>
      <c r="AR68" s="158">
        <f>'TTM Orignal - With Levers'!M68</f>
        <v>1250</v>
      </c>
      <c r="AS68" s="219">
        <v>0</v>
      </c>
      <c r="AT68" s="159"/>
      <c r="AU68" s="221">
        <f t="shared" si="110"/>
        <v>1250</v>
      </c>
      <c r="AV68" s="158">
        <f>'TTM Orignal - With Levers'!N68</f>
        <v>1250</v>
      </c>
      <c r="AW68" s="219">
        <v>0</v>
      </c>
      <c r="AX68" s="159"/>
      <c r="AY68" s="76">
        <f t="shared" si="111"/>
        <v>28750</v>
      </c>
      <c r="AZ68" s="294">
        <f t="shared" si="112"/>
        <v>15000</v>
      </c>
      <c r="BA68" s="292">
        <f>'TTM Orignal - With Levers'!V68</f>
        <v>15000</v>
      </c>
      <c r="BB68" s="266"/>
      <c r="BD68" s="208">
        <f t="shared" si="113"/>
        <v>15000</v>
      </c>
      <c r="BE68" s="207">
        <f t="shared" si="114"/>
        <v>15000</v>
      </c>
      <c r="BF68" s="209">
        <f t="shared" si="115"/>
        <v>15000</v>
      </c>
    </row>
    <row r="69" spans="1:59" x14ac:dyDescent="0.3">
      <c r="A69" s="176">
        <v>6270</v>
      </c>
      <c r="B69" s="91" t="s">
        <v>90</v>
      </c>
      <c r="C69" s="221">
        <f t="shared" si="100"/>
        <v>667</v>
      </c>
      <c r="D69" s="158">
        <f>'TTM Orignal - With Levers'!C69</f>
        <v>667</v>
      </c>
      <c r="E69" s="219">
        <v>0</v>
      </c>
      <c r="F69" s="161"/>
      <c r="G69" s="221">
        <f t="shared" si="101"/>
        <v>667</v>
      </c>
      <c r="H69" s="158">
        <f>'TTM Orignal - With Levers'!D69</f>
        <v>667</v>
      </c>
      <c r="I69" s="219">
        <v>0</v>
      </c>
      <c r="J69" s="161"/>
      <c r="K69" s="221">
        <f t="shared" si="116"/>
        <v>667</v>
      </c>
      <c r="L69" s="158">
        <f>'TTM Orignal - With Levers'!E69</f>
        <v>667</v>
      </c>
      <c r="M69" s="219">
        <v>0</v>
      </c>
      <c r="N69" s="161"/>
      <c r="O69" s="221">
        <f t="shared" si="102"/>
        <v>667</v>
      </c>
      <c r="P69" s="158">
        <f>'TTM Orignal - With Levers'!F69</f>
        <v>667</v>
      </c>
      <c r="Q69" s="219">
        <v>0</v>
      </c>
      <c r="R69" s="161"/>
      <c r="S69" s="221">
        <f t="shared" si="103"/>
        <v>667</v>
      </c>
      <c r="T69" s="158">
        <f>'TTM Orignal - With Levers'!G69</f>
        <v>667</v>
      </c>
      <c r="U69" s="219">
        <v>0</v>
      </c>
      <c r="V69" s="161"/>
      <c r="W69" s="221">
        <f t="shared" si="104"/>
        <v>667</v>
      </c>
      <c r="X69" s="158">
        <f>'TTM Orignal - With Levers'!H69</f>
        <v>667</v>
      </c>
      <c r="Y69" s="219">
        <v>0</v>
      </c>
      <c r="Z69" s="161"/>
      <c r="AA69" s="221">
        <f t="shared" si="105"/>
        <v>667</v>
      </c>
      <c r="AB69" s="158">
        <f>'TTM Orignal - With Levers'!I69</f>
        <v>667</v>
      </c>
      <c r="AC69" s="219">
        <v>0</v>
      </c>
      <c r="AD69" s="161"/>
      <c r="AE69" s="221">
        <f t="shared" si="106"/>
        <v>667</v>
      </c>
      <c r="AF69" s="158">
        <f>'TTM Orignal - With Levers'!J69</f>
        <v>667</v>
      </c>
      <c r="AG69" s="219">
        <v>0</v>
      </c>
      <c r="AH69" s="161"/>
      <c r="AI69" s="221">
        <f t="shared" si="107"/>
        <v>667</v>
      </c>
      <c r="AJ69" s="158">
        <f>'TTM Orignal - With Levers'!K69</f>
        <v>667</v>
      </c>
      <c r="AK69" s="219">
        <v>0</v>
      </c>
      <c r="AL69" s="161"/>
      <c r="AM69" s="221">
        <f t="shared" si="108"/>
        <v>667</v>
      </c>
      <c r="AN69" s="158">
        <f>'TTM Orignal - With Levers'!L69</f>
        <v>667</v>
      </c>
      <c r="AO69" s="219">
        <v>0</v>
      </c>
      <c r="AP69" s="161"/>
      <c r="AQ69" s="221">
        <f t="shared" si="109"/>
        <v>667</v>
      </c>
      <c r="AR69" s="158">
        <f>'TTM Orignal - With Levers'!M69</f>
        <v>667</v>
      </c>
      <c r="AS69" s="219">
        <v>0</v>
      </c>
      <c r="AT69" s="161"/>
      <c r="AU69" s="221">
        <f t="shared" si="110"/>
        <v>667</v>
      </c>
      <c r="AV69" s="158">
        <f>'TTM Orignal - With Levers'!N69</f>
        <v>667</v>
      </c>
      <c r="AW69" s="219">
        <v>0</v>
      </c>
      <c r="AX69" s="161"/>
      <c r="AY69" s="76">
        <f t="shared" si="111"/>
        <v>15341</v>
      </c>
      <c r="AZ69" s="294">
        <f t="shared" si="112"/>
        <v>8004</v>
      </c>
      <c r="BA69" s="292">
        <f>'TTM Orignal - With Levers'!V69</f>
        <v>8004</v>
      </c>
      <c r="BB69" s="266"/>
      <c r="BD69" s="208">
        <f t="shared" si="113"/>
        <v>8004</v>
      </c>
      <c r="BE69" s="207">
        <f t="shared" si="114"/>
        <v>8004</v>
      </c>
      <c r="BF69" s="209">
        <f t="shared" si="115"/>
        <v>8004</v>
      </c>
    </row>
    <row r="70" spans="1:59" x14ac:dyDescent="0.3">
      <c r="A70" s="178">
        <v>6280</v>
      </c>
      <c r="B70" s="95" t="s">
        <v>91</v>
      </c>
      <c r="C70" s="221">
        <f t="shared" si="100"/>
        <v>0</v>
      </c>
      <c r="D70" s="158">
        <f>'TTM Orignal - With Levers'!C70</f>
        <v>0</v>
      </c>
      <c r="E70" s="219">
        <v>0</v>
      </c>
      <c r="F70" s="162"/>
      <c r="G70" s="221">
        <f t="shared" si="101"/>
        <v>0</v>
      </c>
      <c r="H70" s="158">
        <f>'TTM Orignal - With Levers'!D70</f>
        <v>0</v>
      </c>
      <c r="I70" s="219">
        <v>0</v>
      </c>
      <c r="J70" s="162"/>
      <c r="K70" s="221">
        <f t="shared" si="116"/>
        <v>1700</v>
      </c>
      <c r="L70" s="158">
        <f>'TTM Orignal - With Levers'!E70</f>
        <v>1700</v>
      </c>
      <c r="M70" s="219">
        <v>0</v>
      </c>
      <c r="N70" s="162"/>
      <c r="O70" s="162" t="s">
        <v>128</v>
      </c>
      <c r="P70" s="158">
        <f>'TTM Orignal - With Levers'!F70</f>
        <v>0</v>
      </c>
      <c r="Q70" s="219">
        <v>0</v>
      </c>
      <c r="R70" s="162"/>
      <c r="S70" s="221">
        <f t="shared" si="103"/>
        <v>0</v>
      </c>
      <c r="T70" s="158">
        <f>'TTM Orignal - With Levers'!G70</f>
        <v>0</v>
      </c>
      <c r="U70" s="219">
        <v>0</v>
      </c>
      <c r="V70" s="162"/>
      <c r="W70" s="221">
        <f t="shared" si="104"/>
        <v>2800</v>
      </c>
      <c r="X70" s="158">
        <f>'TTM Orignal - With Levers'!H70</f>
        <v>2800</v>
      </c>
      <c r="Y70" s="219">
        <v>0</v>
      </c>
      <c r="Z70" s="162"/>
      <c r="AA70" s="221">
        <f t="shared" si="105"/>
        <v>0</v>
      </c>
      <c r="AB70" s="158">
        <f>'TTM Orignal - With Levers'!I70</f>
        <v>0</v>
      </c>
      <c r="AC70" s="219">
        <v>0</v>
      </c>
      <c r="AD70" s="162"/>
      <c r="AE70" s="221">
        <f t="shared" si="106"/>
        <v>0</v>
      </c>
      <c r="AF70" s="158">
        <f>'TTM Orignal - With Levers'!J70</f>
        <v>0</v>
      </c>
      <c r="AG70" s="219">
        <v>0</v>
      </c>
      <c r="AH70" s="162"/>
      <c r="AI70" s="221">
        <f t="shared" si="107"/>
        <v>2500</v>
      </c>
      <c r="AJ70" s="158">
        <f>'TTM Orignal - With Levers'!K70</f>
        <v>2500</v>
      </c>
      <c r="AK70" s="219">
        <v>0</v>
      </c>
      <c r="AL70" s="162"/>
      <c r="AM70" s="221">
        <f t="shared" si="108"/>
        <v>0</v>
      </c>
      <c r="AN70" s="158">
        <f>'TTM Orignal - With Levers'!L70</f>
        <v>0</v>
      </c>
      <c r="AO70" s="219">
        <v>0</v>
      </c>
      <c r="AP70" s="162"/>
      <c r="AQ70" s="221">
        <f t="shared" si="109"/>
        <v>0</v>
      </c>
      <c r="AR70" s="158">
        <f>'TTM Orignal - With Levers'!M70</f>
        <v>0</v>
      </c>
      <c r="AS70" s="219">
        <v>0</v>
      </c>
      <c r="AT70" s="162"/>
      <c r="AU70" s="221">
        <f t="shared" si="110"/>
        <v>0</v>
      </c>
      <c r="AV70" s="158">
        <f>'TTM Orignal - With Levers'!N70</f>
        <v>0</v>
      </c>
      <c r="AW70" s="219">
        <v>0</v>
      </c>
      <c r="AX70" s="162"/>
      <c r="AY70" s="97">
        <f t="shared" si="111"/>
        <v>14000</v>
      </c>
      <c r="AZ70" s="294">
        <f t="shared" si="112"/>
        <v>7000</v>
      </c>
      <c r="BA70" s="292">
        <f>'TTM Orignal - With Levers'!V70</f>
        <v>7000</v>
      </c>
      <c r="BB70" s="266"/>
      <c r="BD70" s="208">
        <f t="shared" si="113"/>
        <v>7000</v>
      </c>
      <c r="BE70" s="207">
        <f t="shared" si="114"/>
        <v>7000</v>
      </c>
      <c r="BF70" s="209">
        <f t="shared" si="115"/>
        <v>7000</v>
      </c>
    </row>
    <row r="71" spans="1:59" x14ac:dyDescent="0.3">
      <c r="A71" s="178"/>
      <c r="B71" s="98" t="s">
        <v>92</v>
      </c>
      <c r="C71" s="69">
        <f t="shared" ref="C71:AY71" si="118">SUM(C53:C70)</f>
        <v>21652.264818655112</v>
      </c>
      <c r="D71" s="69"/>
      <c r="E71" s="69"/>
      <c r="F71" s="69"/>
      <c r="G71" s="69">
        <f t="shared" si="118"/>
        <v>18071.003891205259</v>
      </c>
      <c r="H71" s="69"/>
      <c r="I71" s="69"/>
      <c r="J71" s="69"/>
      <c r="K71" s="69">
        <f t="shared" si="118"/>
        <v>22176.146124251351</v>
      </c>
      <c r="L71" s="69"/>
      <c r="M71" s="69"/>
      <c r="N71" s="69"/>
      <c r="O71" s="69">
        <f t="shared" si="118"/>
        <v>18612.52341357122</v>
      </c>
      <c r="P71" s="69"/>
      <c r="Q71" s="69"/>
      <c r="R71" s="69"/>
      <c r="S71" s="69">
        <f t="shared" si="118"/>
        <v>17088.705354161895</v>
      </c>
      <c r="T71" s="69"/>
      <c r="U71" s="69"/>
      <c r="V71" s="69"/>
      <c r="W71" s="69">
        <f t="shared" si="118"/>
        <v>22252.496767965786</v>
      </c>
      <c r="X71" s="69"/>
      <c r="Y71" s="69"/>
      <c r="Z71" s="69"/>
      <c r="AA71" s="69">
        <f t="shared" si="118"/>
        <v>19200.830359174426</v>
      </c>
      <c r="AB71" s="69"/>
      <c r="AC71" s="69"/>
      <c r="AD71" s="69"/>
      <c r="AE71" s="69">
        <f t="shared" si="118"/>
        <v>20869.582167181507</v>
      </c>
      <c r="AF71" s="69"/>
      <c r="AG71" s="69"/>
      <c r="AH71" s="69"/>
      <c r="AI71" s="69">
        <f t="shared" si="118"/>
        <v>23507.27016061862</v>
      </c>
      <c r="AJ71" s="69"/>
      <c r="AK71" s="69"/>
      <c r="AL71" s="69"/>
      <c r="AM71" s="69">
        <f t="shared" si="118"/>
        <v>26634.924515229064</v>
      </c>
      <c r="AN71" s="69"/>
      <c r="AO71" s="69"/>
      <c r="AP71" s="69"/>
      <c r="AQ71" s="69">
        <f t="shared" si="118"/>
        <v>25286.714641537343</v>
      </c>
      <c r="AR71" s="69"/>
      <c r="AS71" s="69"/>
      <c r="AT71" s="69"/>
      <c r="AU71" s="69">
        <f t="shared" si="118"/>
        <v>21152.517437176823</v>
      </c>
      <c r="AV71" s="69"/>
      <c r="AW71" s="69"/>
      <c r="AX71" s="69"/>
      <c r="AY71" s="69">
        <f t="shared" si="118"/>
        <v>465132.68333333335</v>
      </c>
      <c r="AZ71" s="258">
        <f>SUM(AZ53:AZ70)</f>
        <v>256504.97965072838</v>
      </c>
      <c r="BA71" s="293">
        <f>SUM(BA53:BA70)</f>
        <v>252860.97965072838</v>
      </c>
      <c r="BB71" s="148"/>
      <c r="BD71" s="69">
        <f t="shared" ref="BD71:BF71" si="119">SUM(BD53:BD70)</f>
        <v>256504.97965072838</v>
      </c>
      <c r="BE71" s="69">
        <f t="shared" si="119"/>
        <v>256504.97965072838</v>
      </c>
      <c r="BF71" s="69">
        <f t="shared" si="119"/>
        <v>256504.97965072838</v>
      </c>
    </row>
    <row r="72" spans="1:59" x14ac:dyDescent="0.3">
      <c r="A72" s="176"/>
      <c r="B72" s="101" t="s">
        <v>93</v>
      </c>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3"/>
      <c r="BA72" s="103"/>
      <c r="BB72" s="196"/>
    </row>
    <row r="73" spans="1:59" x14ac:dyDescent="0.3">
      <c r="A73" s="176">
        <v>6310</v>
      </c>
      <c r="B73" s="104" t="s">
        <v>94</v>
      </c>
      <c r="C73" s="221">
        <f t="shared" ref="C73:C75" si="120">D73+(D73*E73)</f>
        <v>1250</v>
      </c>
      <c r="D73" s="158">
        <f>'TTM Orignal - With Levers'!C73</f>
        <v>1250</v>
      </c>
      <c r="E73" s="220">
        <v>0</v>
      </c>
      <c r="F73" s="96"/>
      <c r="G73" s="221">
        <f t="shared" ref="G73:G75" si="121">H73+(H73*I73)</f>
        <v>1250</v>
      </c>
      <c r="H73" s="158">
        <f>'TTM Orignal - With Levers'!D73</f>
        <v>1250</v>
      </c>
      <c r="I73" s="220">
        <v>0</v>
      </c>
      <c r="J73" s="96"/>
      <c r="K73" s="221">
        <f t="shared" ref="K73:K75" si="122">L73+(L73*M73)</f>
        <v>1250</v>
      </c>
      <c r="L73" s="158">
        <f>'TTM Orignal - With Levers'!E73</f>
        <v>1250</v>
      </c>
      <c r="M73" s="220">
        <v>0</v>
      </c>
      <c r="N73" s="96"/>
      <c r="O73" s="221">
        <f t="shared" ref="O73:O75" si="123">P73+(P73*Q73)</f>
        <v>1250</v>
      </c>
      <c r="P73" s="158">
        <f>'TTM Orignal - With Levers'!F73</f>
        <v>1250</v>
      </c>
      <c r="Q73" s="220">
        <v>0</v>
      </c>
      <c r="R73" s="96"/>
      <c r="S73" s="221">
        <f t="shared" ref="S73:S75" si="124">T73+(T73*U73)</f>
        <v>1250</v>
      </c>
      <c r="T73" s="158">
        <f>'TTM Orignal - With Levers'!G73</f>
        <v>1250</v>
      </c>
      <c r="U73" s="220">
        <v>0</v>
      </c>
      <c r="V73" s="96"/>
      <c r="W73" s="221">
        <f t="shared" ref="W73:W75" si="125">X73+(X73*Y73)</f>
        <v>1250</v>
      </c>
      <c r="X73" s="158">
        <f>'TTM Orignal - With Levers'!H73</f>
        <v>1250</v>
      </c>
      <c r="Y73" s="220">
        <v>0</v>
      </c>
      <c r="Z73" s="96"/>
      <c r="AA73" s="221">
        <f t="shared" ref="AA73:AA75" si="126">AB73+(AB73*AC73)</f>
        <v>1250</v>
      </c>
      <c r="AB73" s="158">
        <f>'TTM Orignal - With Levers'!I73</f>
        <v>1250</v>
      </c>
      <c r="AC73" s="220">
        <v>0</v>
      </c>
      <c r="AD73" s="96"/>
      <c r="AE73" s="221">
        <f t="shared" ref="AE73:AE75" si="127">AF73+(AF73*AG73)</f>
        <v>1250</v>
      </c>
      <c r="AF73" s="158">
        <f>'TTM Orignal - With Levers'!J73</f>
        <v>1250</v>
      </c>
      <c r="AG73" s="220">
        <v>0</v>
      </c>
      <c r="AH73" s="96"/>
      <c r="AI73" s="221">
        <f t="shared" ref="AI73:AI75" si="128">AJ73+(AJ73*AK73)</f>
        <v>1250</v>
      </c>
      <c r="AJ73" s="158">
        <f>'TTM Orignal - With Levers'!K73</f>
        <v>1250</v>
      </c>
      <c r="AK73" s="220">
        <v>0</v>
      </c>
      <c r="AL73" s="96"/>
      <c r="AM73" s="221">
        <f t="shared" ref="AM73:AM75" si="129">AN73+(AN73*AO73)</f>
        <v>1250</v>
      </c>
      <c r="AN73" s="158">
        <f>'TTM Orignal - With Levers'!L73</f>
        <v>1250</v>
      </c>
      <c r="AO73" s="220">
        <v>0</v>
      </c>
      <c r="AP73" s="96"/>
      <c r="AQ73" s="221">
        <f t="shared" ref="AQ73:AQ75" si="130">AR73+(AR73*AS73)</f>
        <v>1250</v>
      </c>
      <c r="AR73" s="158">
        <f>'TTM Orignal - With Levers'!M73</f>
        <v>1250</v>
      </c>
      <c r="AS73" s="220">
        <v>0</v>
      </c>
      <c r="AT73" s="96"/>
      <c r="AU73" s="221">
        <f t="shared" ref="AU73:AU75" si="131">AV73+(AV73*AW73)</f>
        <v>1250</v>
      </c>
      <c r="AV73" s="158">
        <f>'TTM Orignal - With Levers'!N73</f>
        <v>1250</v>
      </c>
      <c r="AW73" s="220">
        <v>0</v>
      </c>
      <c r="AX73" s="96"/>
      <c r="AY73" s="105">
        <f>SUM(C73:AU73)</f>
        <v>28750</v>
      </c>
      <c r="AZ73" s="294">
        <f>SUM(C73,G73,K73,O73,S73,W73,AA73,AE73,AI73,AM73,AQ73,AU73)</f>
        <v>15000</v>
      </c>
      <c r="BA73" s="291">
        <f>'TTM Orignal - With Levers'!V73</f>
        <v>15000</v>
      </c>
      <c r="BB73" s="266"/>
      <c r="BD73" s="208">
        <f>(AZ73+(AZ73*BB73))</f>
        <v>15000</v>
      </c>
      <c r="BE73" s="207">
        <f t="shared" ref="BE73:BE75" si="132">AZ73</f>
        <v>15000</v>
      </c>
      <c r="BF73" s="209">
        <f t="shared" ref="BF73:BF75" si="133">BD73</f>
        <v>15000</v>
      </c>
      <c r="BG73" s="12"/>
    </row>
    <row r="74" spans="1:59" x14ac:dyDescent="0.3">
      <c r="A74" s="175">
        <v>6320</v>
      </c>
      <c r="B74" s="104" t="s">
        <v>95</v>
      </c>
      <c r="C74" s="221">
        <f t="shared" si="120"/>
        <v>2500</v>
      </c>
      <c r="D74" s="158">
        <f>'TTM Orignal - With Levers'!C74</f>
        <v>2500</v>
      </c>
      <c r="E74" s="220">
        <v>0</v>
      </c>
      <c r="F74" s="96"/>
      <c r="G74" s="221">
        <f t="shared" si="121"/>
        <v>2500</v>
      </c>
      <c r="H74" s="158">
        <f>'TTM Orignal - With Levers'!D74</f>
        <v>2500</v>
      </c>
      <c r="I74" s="220">
        <v>0</v>
      </c>
      <c r="J74" s="96"/>
      <c r="K74" s="221">
        <f t="shared" si="122"/>
        <v>2500</v>
      </c>
      <c r="L74" s="158">
        <f>'TTM Orignal - With Levers'!E74</f>
        <v>2500</v>
      </c>
      <c r="M74" s="220">
        <v>0</v>
      </c>
      <c r="N74" s="96"/>
      <c r="O74" s="221">
        <f t="shared" si="123"/>
        <v>2500</v>
      </c>
      <c r="P74" s="158">
        <f>'TTM Orignal - With Levers'!F74</f>
        <v>2500</v>
      </c>
      <c r="Q74" s="220">
        <v>0</v>
      </c>
      <c r="R74" s="96"/>
      <c r="S74" s="221">
        <f t="shared" si="124"/>
        <v>2500</v>
      </c>
      <c r="T74" s="158">
        <f>'TTM Orignal - With Levers'!G74</f>
        <v>2500</v>
      </c>
      <c r="U74" s="220">
        <v>0</v>
      </c>
      <c r="V74" s="96"/>
      <c r="W74" s="221">
        <f t="shared" si="125"/>
        <v>2500</v>
      </c>
      <c r="X74" s="158">
        <f>'TTM Orignal - With Levers'!H74</f>
        <v>2500</v>
      </c>
      <c r="Y74" s="220">
        <v>0</v>
      </c>
      <c r="Z74" s="96"/>
      <c r="AA74" s="221">
        <f t="shared" si="126"/>
        <v>2500</v>
      </c>
      <c r="AB74" s="158">
        <f>'TTM Orignal - With Levers'!I74</f>
        <v>2500</v>
      </c>
      <c r="AC74" s="220">
        <v>0</v>
      </c>
      <c r="AD74" s="96"/>
      <c r="AE74" s="221">
        <f t="shared" si="127"/>
        <v>2500</v>
      </c>
      <c r="AF74" s="158">
        <f>'TTM Orignal - With Levers'!J74</f>
        <v>2500</v>
      </c>
      <c r="AG74" s="220">
        <v>0</v>
      </c>
      <c r="AH74" s="96"/>
      <c r="AI74" s="221">
        <f t="shared" si="128"/>
        <v>2500</v>
      </c>
      <c r="AJ74" s="158">
        <f>'TTM Orignal - With Levers'!K74</f>
        <v>2500</v>
      </c>
      <c r="AK74" s="220">
        <v>0</v>
      </c>
      <c r="AL74" s="96"/>
      <c r="AM74" s="221">
        <f t="shared" si="129"/>
        <v>2500</v>
      </c>
      <c r="AN74" s="158">
        <f>'TTM Orignal - With Levers'!L74</f>
        <v>2500</v>
      </c>
      <c r="AO74" s="220">
        <v>0</v>
      </c>
      <c r="AP74" s="96"/>
      <c r="AQ74" s="221">
        <f t="shared" si="130"/>
        <v>2500</v>
      </c>
      <c r="AR74" s="158">
        <f>'TTM Orignal - With Levers'!M74</f>
        <v>2500</v>
      </c>
      <c r="AS74" s="220">
        <v>0</v>
      </c>
      <c r="AT74" s="96"/>
      <c r="AU74" s="221">
        <f t="shared" si="131"/>
        <v>2500</v>
      </c>
      <c r="AV74" s="158">
        <f>'TTM Orignal - With Levers'!N74</f>
        <v>2500</v>
      </c>
      <c r="AW74" s="220">
        <v>0</v>
      </c>
      <c r="AX74" s="96"/>
      <c r="AY74" s="105">
        <f>SUM(C74:AU74)</f>
        <v>57500</v>
      </c>
      <c r="AZ74" s="294">
        <f>SUM(C74,G74,K74,O74,S74,W74,AA74,AE74,AI74,AM74,AQ74,AU74)</f>
        <v>30000</v>
      </c>
      <c r="BA74" s="292">
        <f>'TTM Orignal - With Levers'!V74</f>
        <v>30000</v>
      </c>
      <c r="BB74" s="266"/>
      <c r="BD74" s="208">
        <f>(AZ74+(AZ74*BB74))</f>
        <v>30000</v>
      </c>
      <c r="BE74" s="207">
        <f t="shared" si="132"/>
        <v>30000</v>
      </c>
      <c r="BF74" s="209">
        <f t="shared" si="133"/>
        <v>30000</v>
      </c>
    </row>
    <row r="75" spans="1:59" x14ac:dyDescent="0.3">
      <c r="A75" s="176">
        <v>6330</v>
      </c>
      <c r="B75" s="104" t="s">
        <v>96</v>
      </c>
      <c r="C75" s="221">
        <f t="shared" si="120"/>
        <v>1000</v>
      </c>
      <c r="D75" s="158">
        <f>'TTM Orignal - With Levers'!C75</f>
        <v>1000</v>
      </c>
      <c r="E75" s="220">
        <v>0</v>
      </c>
      <c r="F75" s="96"/>
      <c r="G75" s="221">
        <f t="shared" si="121"/>
        <v>1000</v>
      </c>
      <c r="H75" s="158">
        <f>'TTM Orignal - With Levers'!D75</f>
        <v>1000</v>
      </c>
      <c r="I75" s="220">
        <v>0</v>
      </c>
      <c r="J75" s="96"/>
      <c r="K75" s="221">
        <f t="shared" si="122"/>
        <v>1000</v>
      </c>
      <c r="L75" s="158">
        <f>'TTM Orignal - With Levers'!E75</f>
        <v>1000</v>
      </c>
      <c r="M75" s="220">
        <v>0</v>
      </c>
      <c r="N75" s="96"/>
      <c r="O75" s="221">
        <f t="shared" si="123"/>
        <v>1000</v>
      </c>
      <c r="P75" s="158">
        <f>'TTM Orignal - With Levers'!F75</f>
        <v>1000</v>
      </c>
      <c r="Q75" s="220">
        <v>0</v>
      </c>
      <c r="R75" s="96"/>
      <c r="S75" s="221">
        <f t="shared" si="124"/>
        <v>1000</v>
      </c>
      <c r="T75" s="158">
        <f>'TTM Orignal - With Levers'!G75</f>
        <v>1000</v>
      </c>
      <c r="U75" s="220">
        <v>0</v>
      </c>
      <c r="V75" s="96"/>
      <c r="W75" s="221">
        <f t="shared" si="125"/>
        <v>1000</v>
      </c>
      <c r="X75" s="158">
        <f>'TTM Orignal - With Levers'!H75</f>
        <v>1000</v>
      </c>
      <c r="Y75" s="220">
        <v>0</v>
      </c>
      <c r="Z75" s="96"/>
      <c r="AA75" s="221">
        <f t="shared" si="126"/>
        <v>1000</v>
      </c>
      <c r="AB75" s="158">
        <f>'TTM Orignal - With Levers'!I75</f>
        <v>1000</v>
      </c>
      <c r="AC75" s="220">
        <v>0</v>
      </c>
      <c r="AD75" s="96"/>
      <c r="AE75" s="221">
        <f t="shared" si="127"/>
        <v>1000</v>
      </c>
      <c r="AF75" s="158">
        <f>'TTM Orignal - With Levers'!J75</f>
        <v>1000</v>
      </c>
      <c r="AG75" s="220">
        <v>0</v>
      </c>
      <c r="AH75" s="96"/>
      <c r="AI75" s="221">
        <f t="shared" si="128"/>
        <v>1000</v>
      </c>
      <c r="AJ75" s="158">
        <f>'TTM Orignal - With Levers'!K75</f>
        <v>1000</v>
      </c>
      <c r="AK75" s="220">
        <v>0</v>
      </c>
      <c r="AL75" s="96"/>
      <c r="AM75" s="221">
        <f t="shared" si="129"/>
        <v>1000</v>
      </c>
      <c r="AN75" s="158">
        <f>'TTM Orignal - With Levers'!L75</f>
        <v>1000</v>
      </c>
      <c r="AO75" s="220">
        <v>0</v>
      </c>
      <c r="AP75" s="96"/>
      <c r="AQ75" s="221">
        <f t="shared" si="130"/>
        <v>1000</v>
      </c>
      <c r="AR75" s="158">
        <f>'TTM Orignal - With Levers'!M75</f>
        <v>1000</v>
      </c>
      <c r="AS75" s="220">
        <v>0</v>
      </c>
      <c r="AT75" s="96"/>
      <c r="AU75" s="221">
        <f t="shared" si="131"/>
        <v>1000</v>
      </c>
      <c r="AV75" s="158">
        <f>'TTM Orignal - With Levers'!N75</f>
        <v>1000</v>
      </c>
      <c r="AW75" s="220">
        <v>0</v>
      </c>
      <c r="AX75" s="96"/>
      <c r="AY75" s="105">
        <f>SUM(C75:AU75)</f>
        <v>23000</v>
      </c>
      <c r="AZ75" s="294">
        <f>SUM(C75,G75,K75,O75,S75,W75,AA75,AE75,AI75,AM75,AQ75,AU75)</f>
        <v>12000</v>
      </c>
      <c r="BA75" s="292">
        <f>'TTM Orignal - With Levers'!V75</f>
        <v>12000</v>
      </c>
      <c r="BB75" s="266"/>
      <c r="BD75" s="208">
        <f>(AZ75+(AZ75*BB75))</f>
        <v>12000</v>
      </c>
      <c r="BE75" s="207">
        <f t="shared" si="132"/>
        <v>12000</v>
      </c>
      <c r="BF75" s="209">
        <f t="shared" si="133"/>
        <v>12000</v>
      </c>
    </row>
    <row r="76" spans="1:59" x14ac:dyDescent="0.3">
      <c r="A76" s="176"/>
      <c r="B76" s="106" t="s">
        <v>97</v>
      </c>
      <c r="C76" s="107">
        <f t="shared" ref="C76:AZ76" si="134">SUM(C73:C75)</f>
        <v>4750</v>
      </c>
      <c r="D76" s="107"/>
      <c r="E76" s="107"/>
      <c r="F76" s="107"/>
      <c r="G76" s="107">
        <f t="shared" si="134"/>
        <v>4750</v>
      </c>
      <c r="H76" s="107"/>
      <c r="I76" s="107"/>
      <c r="J76" s="107"/>
      <c r="K76" s="107">
        <f t="shared" si="134"/>
        <v>4750</v>
      </c>
      <c r="L76" s="107"/>
      <c r="M76" s="107"/>
      <c r="N76" s="107"/>
      <c r="O76" s="107">
        <f t="shared" si="134"/>
        <v>4750</v>
      </c>
      <c r="P76" s="107"/>
      <c r="Q76" s="107"/>
      <c r="R76" s="107"/>
      <c r="S76" s="107">
        <f t="shared" si="134"/>
        <v>4750</v>
      </c>
      <c r="T76" s="107"/>
      <c r="U76" s="107"/>
      <c r="V76" s="107"/>
      <c r="W76" s="107">
        <f t="shared" si="134"/>
        <v>4750</v>
      </c>
      <c r="X76" s="107"/>
      <c r="Y76" s="107"/>
      <c r="Z76" s="107"/>
      <c r="AA76" s="107">
        <f t="shared" si="134"/>
        <v>4750</v>
      </c>
      <c r="AB76" s="107"/>
      <c r="AC76" s="107"/>
      <c r="AD76" s="107"/>
      <c r="AE76" s="107">
        <f t="shared" si="134"/>
        <v>4750</v>
      </c>
      <c r="AF76" s="107"/>
      <c r="AG76" s="107"/>
      <c r="AH76" s="107"/>
      <c r="AI76" s="107">
        <f t="shared" si="134"/>
        <v>4750</v>
      </c>
      <c r="AJ76" s="107"/>
      <c r="AK76" s="107"/>
      <c r="AL76" s="107"/>
      <c r="AM76" s="107">
        <f t="shared" si="134"/>
        <v>4750</v>
      </c>
      <c r="AN76" s="107"/>
      <c r="AO76" s="107"/>
      <c r="AP76" s="107"/>
      <c r="AQ76" s="107">
        <f t="shared" si="134"/>
        <v>4750</v>
      </c>
      <c r="AR76" s="107"/>
      <c r="AS76" s="107"/>
      <c r="AT76" s="107"/>
      <c r="AU76" s="107">
        <f t="shared" si="134"/>
        <v>4750</v>
      </c>
      <c r="AV76" s="107"/>
      <c r="AW76" s="107"/>
      <c r="AX76" s="107"/>
      <c r="AY76" s="107">
        <f t="shared" si="134"/>
        <v>109250</v>
      </c>
      <c r="AZ76" s="309">
        <f t="shared" si="134"/>
        <v>57000</v>
      </c>
      <c r="BA76" s="302">
        <f>SUM(BA73:BA75)</f>
        <v>57000</v>
      </c>
      <c r="BB76" s="148"/>
      <c r="BD76" s="108">
        <f t="shared" ref="BD76:BF76" si="135">SUM(BD73:BD75)</f>
        <v>57000</v>
      </c>
      <c r="BE76" s="108">
        <f t="shared" si="135"/>
        <v>57000</v>
      </c>
      <c r="BF76" s="108">
        <f t="shared" si="135"/>
        <v>57000</v>
      </c>
    </row>
    <row r="77" spans="1:59" x14ac:dyDescent="0.3">
      <c r="A77" s="176"/>
      <c r="B77" s="106" t="s">
        <v>98</v>
      </c>
      <c r="C77" s="108">
        <f t="shared" ref="C77:AZ77" si="136">SUM(C71+C76)</f>
        <v>26402.264818655112</v>
      </c>
      <c r="D77" s="108"/>
      <c r="E77" s="108"/>
      <c r="F77" s="108"/>
      <c r="G77" s="108">
        <f t="shared" si="136"/>
        <v>22821.003891205259</v>
      </c>
      <c r="H77" s="108"/>
      <c r="I77" s="108"/>
      <c r="J77" s="108"/>
      <c r="K77" s="108">
        <f t="shared" si="136"/>
        <v>26926.146124251351</v>
      </c>
      <c r="L77" s="108"/>
      <c r="M77" s="108"/>
      <c r="N77" s="108"/>
      <c r="O77" s="108">
        <f t="shared" si="136"/>
        <v>23362.52341357122</v>
      </c>
      <c r="P77" s="108"/>
      <c r="Q77" s="108"/>
      <c r="R77" s="108"/>
      <c r="S77" s="108">
        <f t="shared" si="136"/>
        <v>21838.705354161895</v>
      </c>
      <c r="T77" s="108"/>
      <c r="U77" s="108"/>
      <c r="V77" s="108"/>
      <c r="W77" s="108">
        <f t="shared" si="136"/>
        <v>27002.496767965786</v>
      </c>
      <c r="X77" s="108"/>
      <c r="Y77" s="108"/>
      <c r="Z77" s="108"/>
      <c r="AA77" s="108">
        <f t="shared" si="136"/>
        <v>23950.830359174426</v>
      </c>
      <c r="AB77" s="108"/>
      <c r="AC77" s="108"/>
      <c r="AD77" s="108"/>
      <c r="AE77" s="108">
        <f t="shared" si="136"/>
        <v>25619.582167181507</v>
      </c>
      <c r="AF77" s="108"/>
      <c r="AG77" s="108"/>
      <c r="AH77" s="108"/>
      <c r="AI77" s="108">
        <f t="shared" si="136"/>
        <v>28257.27016061862</v>
      </c>
      <c r="AJ77" s="108"/>
      <c r="AK77" s="108"/>
      <c r="AL77" s="108"/>
      <c r="AM77" s="108">
        <f t="shared" si="136"/>
        <v>31384.924515229064</v>
      </c>
      <c r="AN77" s="108"/>
      <c r="AO77" s="108"/>
      <c r="AP77" s="108"/>
      <c r="AQ77" s="108">
        <f t="shared" si="136"/>
        <v>30036.714641537343</v>
      </c>
      <c r="AR77" s="108"/>
      <c r="AS77" s="108"/>
      <c r="AT77" s="108"/>
      <c r="AU77" s="108">
        <f t="shared" si="136"/>
        <v>25902.517437176823</v>
      </c>
      <c r="AV77" s="108"/>
      <c r="AW77" s="108"/>
      <c r="AX77" s="108"/>
      <c r="AY77" s="108">
        <f t="shared" si="136"/>
        <v>574382.68333333335</v>
      </c>
      <c r="AZ77" s="309">
        <f t="shared" si="136"/>
        <v>313504.9796507284</v>
      </c>
      <c r="BA77" s="303">
        <f>SUM(BA71+BA76)</f>
        <v>309860.9796507284</v>
      </c>
      <c r="BB77" s="149"/>
      <c r="BD77" s="108">
        <f t="shared" ref="BD77:BF77" si="137">SUM(BD71+BD76)</f>
        <v>313504.9796507284</v>
      </c>
      <c r="BE77" s="108">
        <f t="shared" si="137"/>
        <v>313504.9796507284</v>
      </c>
      <c r="BF77" s="108">
        <f t="shared" si="137"/>
        <v>313504.9796507284</v>
      </c>
    </row>
    <row r="78" spans="1:59" x14ac:dyDescent="0.3">
      <c r="A78" s="178"/>
      <c r="B78" s="109" t="s">
        <v>99</v>
      </c>
      <c r="C78" s="83">
        <f t="shared" ref="C78:AY78" si="138">SUM(C49-C77)</f>
        <v>11936.212357585271</v>
      </c>
      <c r="D78" s="83"/>
      <c r="E78" s="83"/>
      <c r="F78" s="83"/>
      <c r="G78" s="83">
        <f t="shared" si="138"/>
        <v>12697.030141056701</v>
      </c>
      <c r="H78" s="83"/>
      <c r="I78" s="83"/>
      <c r="J78" s="83"/>
      <c r="K78" s="83">
        <f t="shared" si="138"/>
        <v>6213.4205145069973</v>
      </c>
      <c r="L78" s="83"/>
      <c r="M78" s="83"/>
      <c r="N78" s="83"/>
      <c r="O78" s="83">
        <f t="shared" si="138"/>
        <v>8123.1334210542664</v>
      </c>
      <c r="P78" s="83"/>
      <c r="Q78" s="83"/>
      <c r="R78" s="83"/>
      <c r="S78" s="83">
        <f t="shared" si="138"/>
        <v>4203.7034732957472</v>
      </c>
      <c r="T78" s="83"/>
      <c r="U78" s="83"/>
      <c r="V78" s="83"/>
      <c r="W78" s="83">
        <f t="shared" si="138"/>
        <v>3182.2579214664001</v>
      </c>
      <c r="X78" s="83"/>
      <c r="Y78" s="83"/>
      <c r="Z78" s="83"/>
      <c r="AA78" s="83">
        <f t="shared" si="138"/>
        <v>4371.0076980544545</v>
      </c>
      <c r="AB78" s="83"/>
      <c r="AC78" s="83"/>
      <c r="AD78" s="83"/>
      <c r="AE78" s="83">
        <f t="shared" si="138"/>
        <v>11641.083259992796</v>
      </c>
      <c r="AF78" s="83"/>
      <c r="AG78" s="83"/>
      <c r="AH78" s="83"/>
      <c r="AI78" s="83">
        <f t="shared" si="138"/>
        <v>11931.747571794735</v>
      </c>
      <c r="AJ78" s="83"/>
      <c r="AK78" s="83"/>
      <c r="AL78" s="83"/>
      <c r="AM78" s="83">
        <f t="shared" si="138"/>
        <v>25989.612099759343</v>
      </c>
      <c r="AN78" s="83"/>
      <c r="AO78" s="83"/>
      <c r="AP78" s="83"/>
      <c r="AQ78" s="83">
        <f t="shared" si="138"/>
        <v>19465.942197946861</v>
      </c>
      <c r="AR78" s="83"/>
      <c r="AS78" s="83"/>
      <c r="AT78" s="83"/>
      <c r="AU78" s="83">
        <f t="shared" si="138"/>
        <v>20946.518895742352</v>
      </c>
      <c r="AV78" s="83"/>
      <c r="AW78" s="83"/>
      <c r="AX78" s="83"/>
      <c r="AY78" s="83">
        <f t="shared" si="138"/>
        <v>-1473789.4898094339</v>
      </c>
      <c r="AZ78" s="259">
        <f>SUM(AZ49-AZ77)</f>
        <v>140701.66955225554</v>
      </c>
      <c r="BA78" s="296">
        <f>SUM(BA49-BA77)</f>
        <v>69641.798635724699</v>
      </c>
      <c r="BB78" s="149"/>
      <c r="BD78" s="83">
        <f>SUM(BD49-BD77)</f>
        <v>140701.66955225554</v>
      </c>
      <c r="BE78" s="83">
        <f t="shared" ref="BE78:BF78" si="139">SUM(BE49-BE77)</f>
        <v>140701.66955225554</v>
      </c>
      <c r="BF78" s="83">
        <f t="shared" si="139"/>
        <v>140701.66955225554</v>
      </c>
    </row>
    <row r="79" spans="1:59" x14ac:dyDescent="0.3">
      <c r="A79" s="178"/>
      <c r="B79" s="110" t="s">
        <v>100</v>
      </c>
      <c r="C79" s="111">
        <f t="shared" ref="C79:AY79" si="140">SUM(C78/C9)</f>
        <v>9.5536878792905247E-2</v>
      </c>
      <c r="D79" s="111"/>
      <c r="E79" s="111"/>
      <c r="F79" s="111"/>
      <c r="G79" s="111">
        <f t="shared" si="140"/>
        <v>0.11247026384393607</v>
      </c>
      <c r="H79" s="111"/>
      <c r="I79" s="111"/>
      <c r="J79" s="111"/>
      <c r="K79" s="111">
        <f t="shared" si="140"/>
        <v>6.2118075813976423E-2</v>
      </c>
      <c r="L79" s="111"/>
      <c r="M79" s="111"/>
      <c r="N79" s="111"/>
      <c r="O79" s="111">
        <f t="shared" si="140"/>
        <v>8.740985148751966E-2</v>
      </c>
      <c r="P79" s="111"/>
      <c r="Q79" s="111"/>
      <c r="R79" s="111"/>
      <c r="S79" s="111">
        <f t="shared" si="140"/>
        <v>5.5980093455474077E-2</v>
      </c>
      <c r="T79" s="111"/>
      <c r="U79" s="111"/>
      <c r="V79" s="111"/>
      <c r="W79" s="111">
        <f t="shared" si="140"/>
        <v>3.722292785613078E-2</v>
      </c>
      <c r="X79" s="111"/>
      <c r="Y79" s="111"/>
      <c r="Z79" s="111"/>
      <c r="AA79" s="111">
        <f t="shared" si="140"/>
        <v>5.2389641576837918E-2</v>
      </c>
      <c r="AB79" s="111"/>
      <c r="AC79" s="111"/>
      <c r="AD79" s="111"/>
      <c r="AE79" s="111">
        <f t="shared" si="140"/>
        <v>0.11320186051837361</v>
      </c>
      <c r="AF79" s="111"/>
      <c r="AG79" s="111"/>
      <c r="AH79" s="111"/>
      <c r="AI79" s="111">
        <f t="shared" si="140"/>
        <v>0.10203119357104108</v>
      </c>
      <c r="AJ79" s="111"/>
      <c r="AK79" s="111"/>
      <c r="AL79" s="111"/>
      <c r="AM79" s="111">
        <f t="shared" si="140"/>
        <v>0.15922610807472656</v>
      </c>
      <c r="AN79" s="111"/>
      <c r="AO79" s="111"/>
      <c r="AP79" s="111"/>
      <c r="AQ79" s="111">
        <f t="shared" si="140"/>
        <v>0.13008743227243211</v>
      </c>
      <c r="AR79" s="111"/>
      <c r="AS79" s="111"/>
      <c r="AT79" s="111"/>
      <c r="AU79" s="111">
        <f t="shared" si="140"/>
        <v>0.14702598094125108</v>
      </c>
      <c r="AV79" s="111"/>
      <c r="AW79" s="111"/>
      <c r="AX79" s="111"/>
      <c r="AY79" s="111" t="e">
        <f t="shared" si="140"/>
        <v>#DIV/0!</v>
      </c>
      <c r="AZ79" s="111">
        <f>SUM(AZ78/AZ9)</f>
        <v>0.10423021692571985</v>
      </c>
      <c r="BA79" s="298">
        <f>SUM(BA78/BA9)</f>
        <v>5.7555198824790793E-2</v>
      </c>
      <c r="BB79" s="149"/>
      <c r="BD79" s="111">
        <f>SUM(BD78/BD9)</f>
        <v>0.10423021692571985</v>
      </c>
      <c r="BE79" s="111">
        <f t="shared" ref="BE79:BF79" si="141">SUM(BE78/BE9)</f>
        <v>0.10423021692571985</v>
      </c>
      <c r="BF79" s="111">
        <f t="shared" si="141"/>
        <v>0.10423021692571985</v>
      </c>
    </row>
    <row r="80" spans="1:59" ht="15" hidden="1" customHeight="1" x14ac:dyDescent="0.3">
      <c r="A80" s="176"/>
      <c r="B80" s="198" t="s">
        <v>62</v>
      </c>
      <c r="C80" s="199" t="e">
        <f>SUM(C$71+C$76)/#REF!</f>
        <v>#REF!</v>
      </c>
      <c r="D80" s="199"/>
      <c r="E80" s="199"/>
      <c r="F80" s="199"/>
      <c r="G80" s="199" t="e">
        <f>SUM(G$71+G$76)/#REF!</f>
        <v>#REF!</v>
      </c>
      <c r="H80" s="199"/>
      <c r="I80" s="199"/>
      <c r="J80" s="199"/>
      <c r="K80" s="199" t="e">
        <f>SUM(K$71+K$76)/#REF!</f>
        <v>#REF!</v>
      </c>
      <c r="L80" s="199"/>
      <c r="M80" s="199"/>
      <c r="N80" s="199"/>
      <c r="O80" s="199" t="e">
        <f>SUM(O$71+O$76)/#REF!</f>
        <v>#REF!</v>
      </c>
      <c r="P80" s="199"/>
      <c r="Q80" s="199"/>
      <c r="R80" s="199"/>
      <c r="S80" s="199" t="e">
        <f>SUM(S$71+S$76)/#REF!</f>
        <v>#REF!</v>
      </c>
      <c r="T80" s="199"/>
      <c r="U80" s="199"/>
      <c r="V80" s="199"/>
      <c r="W80" s="199" t="e">
        <f>SUM(W$71+W$76)/#REF!</f>
        <v>#REF!</v>
      </c>
      <c r="X80" s="199"/>
      <c r="Y80" s="199"/>
      <c r="Z80" s="199"/>
      <c r="AA80" s="199" t="e">
        <f>SUM(AA$71+AA$76)/#REF!</f>
        <v>#REF!</v>
      </c>
      <c r="AB80" s="199"/>
      <c r="AC80" s="199"/>
      <c r="AD80" s="199"/>
      <c r="AE80" s="199" t="e">
        <f>SUM(AE$71+AE$76)/#REF!</f>
        <v>#REF!</v>
      </c>
      <c r="AF80" s="199"/>
      <c r="AG80" s="199"/>
      <c r="AH80" s="199"/>
      <c r="AI80" s="199" t="e">
        <f>SUM(AI$71+AI$76)/#REF!</f>
        <v>#REF!</v>
      </c>
      <c r="AJ80" s="199"/>
      <c r="AK80" s="199"/>
      <c r="AL80" s="199"/>
      <c r="AM80" s="199" t="e">
        <f>SUM(AM$71+AM$76)/#REF!</f>
        <v>#REF!</v>
      </c>
      <c r="AN80" s="199"/>
      <c r="AO80" s="199"/>
      <c r="AP80" s="199"/>
      <c r="AQ80" s="199" t="e">
        <f>SUM(AQ$71+AQ$76)/#REF!</f>
        <v>#REF!</v>
      </c>
      <c r="AR80" s="199"/>
      <c r="AS80" s="199"/>
      <c r="AT80" s="199"/>
      <c r="AU80" s="199" t="e">
        <f>SUM(AU$71+AU$76)/#REF!</f>
        <v>#REF!</v>
      </c>
      <c r="AV80" s="199"/>
      <c r="AW80" s="199"/>
      <c r="AX80" s="199"/>
      <c r="AY80" s="199" t="e">
        <f>SUM(AY$71+AY$76)/#REF!</f>
        <v>#REF!</v>
      </c>
      <c r="AZ80" s="200" t="e">
        <f>SUM(AZ$71+AZ$76)/#REF!</f>
        <v>#REF!</v>
      </c>
      <c r="BA80" s="304"/>
      <c r="BB80" s="149"/>
      <c r="BD80" s="86"/>
      <c r="BE80" s="86"/>
      <c r="BF80" s="86"/>
    </row>
    <row r="81" spans="1:58" s="205" customFormat="1" x14ac:dyDescent="0.3">
      <c r="A81" s="202"/>
      <c r="B81" s="203" t="s">
        <v>136</v>
      </c>
      <c r="C81" s="206">
        <f>C77/C50</f>
        <v>86040.279465479602</v>
      </c>
      <c r="D81" s="206"/>
      <c r="E81" s="206"/>
      <c r="F81" s="206"/>
      <c r="G81" s="206">
        <f t="shared" ref="G81:AZ81" si="142">G77/G50</f>
        <v>72535.442132779441</v>
      </c>
      <c r="H81" s="206"/>
      <c r="I81" s="206"/>
      <c r="J81" s="206"/>
      <c r="K81" s="206">
        <f t="shared" si="142"/>
        <v>81271.846289473688</v>
      </c>
      <c r="L81" s="206"/>
      <c r="M81" s="206"/>
      <c r="N81" s="206"/>
      <c r="O81" s="206">
        <f t="shared" si="142"/>
        <v>68955.703892429417</v>
      </c>
      <c r="P81" s="206"/>
      <c r="Q81" s="206"/>
      <c r="R81" s="206"/>
      <c r="S81" s="206">
        <f t="shared" si="142"/>
        <v>62971.52210186499</v>
      </c>
      <c r="T81" s="206"/>
      <c r="U81" s="206"/>
      <c r="V81" s="206"/>
      <c r="W81" s="206">
        <f t="shared" si="142"/>
        <v>76478.809287285563</v>
      </c>
      <c r="X81" s="206"/>
      <c r="Y81" s="206"/>
      <c r="Z81" s="206"/>
      <c r="AA81" s="206">
        <f t="shared" si="142"/>
        <v>70556.216412418595</v>
      </c>
      <c r="AB81" s="206"/>
      <c r="AC81" s="206"/>
      <c r="AD81" s="206"/>
      <c r="AE81" s="206">
        <f t="shared" si="142"/>
        <v>70706.813670581367</v>
      </c>
      <c r="AF81" s="206"/>
      <c r="AG81" s="206"/>
      <c r="AH81" s="206"/>
      <c r="AI81" s="206">
        <f t="shared" si="142"/>
        <v>82223.110462562865</v>
      </c>
      <c r="AJ81" s="206"/>
      <c r="AK81" s="206"/>
      <c r="AL81" s="206"/>
      <c r="AM81" s="206">
        <f t="shared" si="142"/>
        <v>89286.832254953551</v>
      </c>
      <c r="AN81" s="206"/>
      <c r="AO81" s="206"/>
      <c r="AP81" s="206"/>
      <c r="AQ81" s="206">
        <f t="shared" si="142"/>
        <v>90795.433854104645</v>
      </c>
      <c r="AR81" s="206"/>
      <c r="AS81" s="206"/>
      <c r="AT81" s="206"/>
      <c r="AU81" s="206">
        <f t="shared" si="142"/>
        <v>78769.680677494121</v>
      </c>
      <c r="AV81" s="206"/>
      <c r="AW81" s="206"/>
      <c r="AX81" s="206"/>
      <c r="AY81" s="206" t="e">
        <f t="shared" si="142"/>
        <v>#DIV/0!</v>
      </c>
      <c r="AZ81" s="289">
        <f t="shared" si="142"/>
        <v>931743.91458224028</v>
      </c>
      <c r="BA81" s="305">
        <f>BA77/BA50</f>
        <v>987955.4253879945</v>
      </c>
      <c r="BB81" s="290"/>
      <c r="BD81" s="206">
        <f t="shared" ref="BD81:BF81" si="143">BD77/BD50</f>
        <v>931743.91458224028</v>
      </c>
      <c r="BE81" s="206">
        <f t="shared" si="143"/>
        <v>931743.91458224028</v>
      </c>
      <c r="BF81" s="206">
        <f t="shared" si="143"/>
        <v>931743.91458224028</v>
      </c>
    </row>
    <row r="82" spans="1:58" x14ac:dyDescent="0.3">
      <c r="BB82"/>
    </row>
    <row r="83" spans="1:58" ht="15.75" customHeight="1" x14ac:dyDescent="0.3">
      <c r="C83" s="626" t="s">
        <v>141</v>
      </c>
      <c r="D83" s="626"/>
      <c r="E83" s="626"/>
      <c r="F83" s="626"/>
      <c r="G83" s="626"/>
      <c r="H83" s="626"/>
      <c r="I83" s="626"/>
      <c r="J83" s="626"/>
      <c r="K83" s="626"/>
      <c r="L83" s="626"/>
      <c r="M83" s="626"/>
      <c r="N83" s="626"/>
      <c r="O83" s="626"/>
      <c r="P83" s="626"/>
      <c r="Q83" s="626"/>
      <c r="R83" s="626"/>
      <c r="S83" s="626"/>
      <c r="T83" s="626"/>
      <c r="U83" s="626"/>
      <c r="V83" s="626"/>
      <c r="W83" s="626"/>
      <c r="X83" s="626"/>
      <c r="Y83" s="626"/>
      <c r="Z83" s="626"/>
      <c r="AA83" s="626"/>
      <c r="AB83" s="626"/>
      <c r="AC83" s="626"/>
      <c r="AD83" s="626"/>
      <c r="AE83" s="626"/>
      <c r="AF83" s="626"/>
      <c r="AG83" s="626"/>
      <c r="AH83" s="626"/>
      <c r="AI83" s="626"/>
      <c r="AJ83" s="626"/>
      <c r="AK83" s="626"/>
      <c r="AL83" s="626"/>
      <c r="AM83" s="626"/>
      <c r="AN83" s="626"/>
      <c r="AO83" s="626"/>
      <c r="AP83" s="626"/>
      <c r="AQ83" s="626"/>
      <c r="AR83" s="626"/>
      <c r="AS83" s="626"/>
      <c r="AT83" s="626"/>
      <c r="AU83" s="626"/>
      <c r="AV83" s="626"/>
      <c r="AW83" s="626"/>
      <c r="AX83" s="626"/>
      <c r="AY83" s="626"/>
      <c r="AZ83" s="626"/>
      <c r="BA83" s="626"/>
      <c r="BB83"/>
    </row>
    <row r="84" spans="1:58" x14ac:dyDescent="0.3">
      <c r="BB84"/>
    </row>
    <row r="85" spans="1:58" x14ac:dyDescent="0.3">
      <c r="BB85"/>
    </row>
    <row r="86" spans="1:58" x14ac:dyDescent="0.3">
      <c r="BB86"/>
    </row>
    <row r="87" spans="1:58" x14ac:dyDescent="0.3">
      <c r="BB87"/>
    </row>
    <row r="88" spans="1:58" x14ac:dyDescent="0.3">
      <c r="BB88"/>
    </row>
    <row r="89" spans="1:58" x14ac:dyDescent="0.3">
      <c r="BB89"/>
    </row>
    <row r="90" spans="1:58" x14ac:dyDescent="0.3">
      <c r="BB90"/>
    </row>
    <row r="91" spans="1:58" x14ac:dyDescent="0.3">
      <c r="BB91"/>
    </row>
    <row r="92" spans="1:58" x14ac:dyDescent="0.3">
      <c r="BB92"/>
    </row>
    <row r="93" spans="1:58" x14ac:dyDescent="0.3">
      <c r="BB93"/>
    </row>
    <row r="94" spans="1:58" x14ac:dyDescent="0.3">
      <c r="BB94"/>
    </row>
    <row r="95" spans="1:58" x14ac:dyDescent="0.3">
      <c r="BB95"/>
    </row>
    <row r="96" spans="1:58" x14ac:dyDescent="0.3">
      <c r="BB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sheetData>
  <sheetProtection algorithmName="SHA-512" hashValue="VOTATW6Ejn2jz0OB77w0rPeJMQFOBxAyUxnYzX0UwLwZQ3HpIWGzGIKMxtwH5TZvj7t+EZgTVAAd7o+hxz3qRg==" saltValue="Q9MN6/4LvtcT+mAH5ee0Qg==" spinCount="100000" sheet="1" objects="1" scenarios="1"/>
  <mergeCells count="1">
    <mergeCell ref="C83:BA83"/>
  </mergeCells>
  <conditionalFormatting sqref="C1:BF82 C83 BB83:BF83 C84:BF1048576">
    <cfRule type="cellIs" dxfId="1" priority="1" operator="lessThan">
      <formula>0</formula>
    </cfRule>
  </conditionalFormatting>
  <printOptions gridLines="1"/>
  <pageMargins left="0.25" right="0.25" top="0.75" bottom="0.75" header="0.3" footer="0.3"/>
  <pageSetup fitToHeight="0" orientation="landscape"/>
  <headerFooter>
    <oddFooter>&amp;R&amp;P</oddFooter>
  </headerFooter>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20E57-82E5-412B-994E-94AAF85A1DF0}">
  <sheetPr>
    <pageSetUpPr fitToPage="1"/>
  </sheetPr>
  <dimension ref="A1:BP119"/>
  <sheetViews>
    <sheetView zoomScale="85" zoomScaleNormal="85" workbookViewId="0">
      <pane xSplit="2" ySplit="2" topLeftCell="BQ60" activePane="bottomRight" state="frozen"/>
      <selection pane="topRight"/>
      <selection pane="bottomLeft"/>
      <selection pane="bottomRight" activeCell="BT65" sqref="BT65"/>
    </sheetView>
  </sheetViews>
  <sheetFormatPr defaultColWidth="9.109375" defaultRowHeight="14.4" x14ac:dyDescent="0.3"/>
  <cols>
    <col min="1" max="1" width="7.109375" customWidth="1"/>
    <col min="2" max="2" width="32.6640625" customWidth="1"/>
    <col min="3" max="3" width="13.109375" customWidth="1"/>
    <col min="4" max="6" width="13.109375" hidden="1" customWidth="1"/>
    <col min="7" max="7" width="13.109375" customWidth="1"/>
    <col min="8" max="10" width="13.109375" hidden="1" customWidth="1"/>
    <col min="11" max="11" width="13.109375" customWidth="1"/>
    <col min="12" max="14" width="13.109375" hidden="1" customWidth="1"/>
    <col min="15" max="15" width="13.109375" customWidth="1"/>
    <col min="16" max="18" width="13.109375" hidden="1" customWidth="1"/>
    <col min="19" max="19" width="13.109375" customWidth="1"/>
    <col min="20" max="22" width="13.109375" hidden="1" customWidth="1"/>
    <col min="23" max="23" width="13.109375" customWidth="1"/>
    <col min="24" max="26" width="13.109375" hidden="1" customWidth="1"/>
    <col min="27" max="27" width="13.109375" customWidth="1"/>
    <col min="28" max="30" width="13.109375" hidden="1" customWidth="1"/>
    <col min="31" max="31" width="13.109375" customWidth="1"/>
    <col min="32" max="34" width="13.109375" hidden="1" customWidth="1"/>
    <col min="35" max="35" width="13.109375" customWidth="1"/>
    <col min="36" max="38" width="13.109375" hidden="1" customWidth="1"/>
    <col min="39" max="39" width="13.109375" customWidth="1"/>
    <col min="40" max="42" width="13.109375" hidden="1" customWidth="1"/>
    <col min="43" max="43" width="13.109375" customWidth="1"/>
    <col min="44" max="46" width="13.109375" hidden="1" customWidth="1"/>
    <col min="47" max="47" width="13.33203125" customWidth="1"/>
    <col min="48" max="50" width="13.33203125" hidden="1" customWidth="1"/>
    <col min="51" max="51" width="17.33203125" hidden="1" customWidth="1"/>
    <col min="52" max="54" width="17.33203125" customWidth="1"/>
    <col min="55" max="55" width="18.109375" style="152" customWidth="1"/>
    <col min="56" max="56" width="17.5546875" customWidth="1"/>
    <col min="57" max="58" width="14" hidden="1" customWidth="1"/>
    <col min="59" max="59" width="12" customWidth="1"/>
    <col min="64" max="64" width="10" bestFit="1" customWidth="1"/>
  </cols>
  <sheetData>
    <row r="1" spans="1:68" ht="65.25" customHeight="1" x14ac:dyDescent="0.3">
      <c r="A1" s="629"/>
      <c r="B1" s="630"/>
      <c r="C1" s="627"/>
      <c r="D1" s="628"/>
      <c r="E1" s="628"/>
      <c r="F1" s="628"/>
      <c r="G1" s="628"/>
      <c r="H1" s="628"/>
      <c r="I1" s="628"/>
      <c r="J1" s="628"/>
      <c r="K1" s="628"/>
      <c r="L1" s="628"/>
      <c r="M1" s="628"/>
      <c r="N1" s="628"/>
      <c r="O1" s="628"/>
      <c r="P1" s="628"/>
      <c r="Q1" s="628"/>
      <c r="R1" s="628"/>
      <c r="S1" s="628"/>
      <c r="T1" s="628"/>
      <c r="U1" s="628"/>
      <c r="V1" s="628"/>
      <c r="W1" s="628"/>
      <c r="X1" s="628"/>
      <c r="Y1" s="628"/>
      <c r="Z1" s="628"/>
      <c r="AA1" s="628"/>
      <c r="AB1" s="628"/>
      <c r="AC1" s="628"/>
      <c r="AD1" s="628"/>
      <c r="AE1" s="628"/>
      <c r="AF1" s="628"/>
      <c r="AG1" s="628"/>
      <c r="AH1" s="628"/>
      <c r="AI1" s="628"/>
      <c r="AJ1" s="628"/>
      <c r="AK1" s="628"/>
      <c r="AL1" s="628"/>
      <c r="AM1" s="628"/>
      <c r="AN1" s="628"/>
      <c r="AO1" s="628"/>
      <c r="AP1" s="628"/>
      <c r="AQ1" s="628"/>
      <c r="AR1" s="628"/>
      <c r="AS1" s="628"/>
      <c r="AT1" s="628"/>
      <c r="AU1" s="628"/>
      <c r="AV1" s="628"/>
      <c r="AW1" s="628"/>
      <c r="AX1" s="628"/>
      <c r="AY1" s="628"/>
      <c r="AZ1" s="628"/>
      <c r="BA1" s="628"/>
      <c r="BB1" s="628"/>
      <c r="BC1" s="628"/>
      <c r="BD1" s="628"/>
      <c r="BE1" s="628"/>
      <c r="BF1" s="628"/>
      <c r="BG1" s="628"/>
    </row>
    <row r="2" spans="1:68" s="22" customFormat="1" ht="40.5" customHeight="1" x14ac:dyDescent="0.3">
      <c r="A2" s="467" t="s">
        <v>0</v>
      </c>
      <c r="B2" s="279" t="s">
        <v>44</v>
      </c>
      <c r="C2" s="52" t="s">
        <v>45</v>
      </c>
      <c r="D2" s="210" t="s">
        <v>137</v>
      </c>
      <c r="E2" s="211" t="s">
        <v>138</v>
      </c>
      <c r="F2" s="211" t="s">
        <v>139</v>
      </c>
      <c r="G2" s="52" t="s">
        <v>46</v>
      </c>
      <c r="H2" s="210" t="s">
        <v>137</v>
      </c>
      <c r="I2" s="211" t="s">
        <v>138</v>
      </c>
      <c r="J2" s="211" t="s">
        <v>139</v>
      </c>
      <c r="K2" s="52" t="s">
        <v>47</v>
      </c>
      <c r="L2" s="52"/>
      <c r="M2" s="211" t="s">
        <v>138</v>
      </c>
      <c r="N2" s="211" t="s">
        <v>139</v>
      </c>
      <c r="O2" s="52" t="s">
        <v>48</v>
      </c>
      <c r="P2" s="52"/>
      <c r="Q2" s="211" t="s">
        <v>138</v>
      </c>
      <c r="R2" s="211" t="s">
        <v>139</v>
      </c>
      <c r="S2" s="52" t="s">
        <v>49</v>
      </c>
      <c r="T2" s="52"/>
      <c r="U2" s="211" t="s">
        <v>138</v>
      </c>
      <c r="V2" s="211" t="s">
        <v>139</v>
      </c>
      <c r="W2" s="52" t="s">
        <v>50</v>
      </c>
      <c r="X2" s="52"/>
      <c r="Y2" s="211" t="s">
        <v>138</v>
      </c>
      <c r="Z2" s="211" t="s">
        <v>139</v>
      </c>
      <c r="AA2" s="52" t="s">
        <v>51</v>
      </c>
      <c r="AB2" s="52"/>
      <c r="AC2" s="211" t="s">
        <v>138</v>
      </c>
      <c r="AD2" s="211" t="s">
        <v>139</v>
      </c>
      <c r="AE2" s="52" t="s">
        <v>52</v>
      </c>
      <c r="AF2" s="52"/>
      <c r="AG2" s="211" t="s">
        <v>138</v>
      </c>
      <c r="AH2" s="211" t="s">
        <v>139</v>
      </c>
      <c r="AI2" s="52" t="s">
        <v>53</v>
      </c>
      <c r="AJ2" s="52"/>
      <c r="AK2" s="211" t="s">
        <v>138</v>
      </c>
      <c r="AL2" s="211" t="s">
        <v>139</v>
      </c>
      <c r="AM2" s="52" t="s">
        <v>54</v>
      </c>
      <c r="AN2" s="53"/>
      <c r="AO2" s="211" t="s">
        <v>138</v>
      </c>
      <c r="AP2" s="211" t="s">
        <v>139</v>
      </c>
      <c r="AQ2" s="53" t="s">
        <v>55</v>
      </c>
      <c r="AR2" s="53"/>
      <c r="AS2" s="211" t="s">
        <v>138</v>
      </c>
      <c r="AT2" s="211" t="s">
        <v>139</v>
      </c>
      <c r="AU2" s="52" t="s">
        <v>56</v>
      </c>
      <c r="AV2" s="53"/>
      <c r="AW2" s="211" t="s">
        <v>138</v>
      </c>
      <c r="AX2" s="211" t="s">
        <v>139</v>
      </c>
      <c r="AY2" s="261"/>
      <c r="AZ2" s="269" t="s">
        <v>140</v>
      </c>
      <c r="BA2" s="55" t="s">
        <v>57</v>
      </c>
      <c r="BB2" s="398" t="s">
        <v>142</v>
      </c>
      <c r="BC2" s="211" t="s">
        <v>143</v>
      </c>
      <c r="BD2" s="211" t="s">
        <v>144</v>
      </c>
      <c r="BE2" s="189" t="s">
        <v>131</v>
      </c>
      <c r="BF2" s="190" t="s">
        <v>132</v>
      </c>
      <c r="BG2" s="397" t="s">
        <v>145</v>
      </c>
      <c r="BH2"/>
      <c r="BI2"/>
      <c r="BJ2"/>
      <c r="BK2"/>
      <c r="BL2"/>
      <c r="BM2"/>
      <c r="BN2"/>
      <c r="BO2"/>
      <c r="BP2"/>
    </row>
    <row r="3" spans="1:68" ht="15" thickBot="1" x14ac:dyDescent="0.35">
      <c r="A3" s="173"/>
      <c r="B3" s="56" t="s">
        <v>58</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2"/>
      <c r="AZ3" s="13"/>
      <c r="BA3" s="13"/>
      <c r="BC3" s="148"/>
    </row>
    <row r="4" spans="1:68" ht="15" hidden="1" customHeight="1" x14ac:dyDescent="0.3">
      <c r="A4" s="173"/>
      <c r="B4" s="56" t="s">
        <v>59</v>
      </c>
      <c r="C4" s="57">
        <v>0.13</v>
      </c>
      <c r="D4" s="57"/>
      <c r="E4" s="57"/>
      <c r="F4" s="57"/>
      <c r="G4" s="58">
        <v>0.04</v>
      </c>
      <c r="H4" s="57"/>
      <c r="I4" s="57"/>
      <c r="J4" s="57"/>
      <c r="K4" s="58">
        <v>0.08</v>
      </c>
      <c r="L4" s="58"/>
      <c r="M4" s="57"/>
      <c r="N4" s="57"/>
      <c r="O4" s="58">
        <v>0.05</v>
      </c>
      <c r="P4" s="58"/>
      <c r="Q4" s="57"/>
      <c r="R4" s="57"/>
      <c r="S4" s="58">
        <v>0.04</v>
      </c>
      <c r="T4" s="58"/>
      <c r="U4" s="57"/>
      <c r="V4" s="57"/>
      <c r="W4" s="59">
        <v>0.05</v>
      </c>
      <c r="X4" s="59"/>
      <c r="Y4" s="57"/>
      <c r="Z4" s="57"/>
      <c r="AA4" s="59">
        <v>7.0000000000000007E-2</v>
      </c>
      <c r="AB4" s="59"/>
      <c r="AC4" s="57"/>
      <c r="AD4" s="57"/>
      <c r="AE4" s="59">
        <v>0.1</v>
      </c>
      <c r="AF4" s="59"/>
      <c r="AG4" s="57"/>
      <c r="AH4" s="57"/>
      <c r="AI4" s="59">
        <v>0.06</v>
      </c>
      <c r="AJ4" s="59"/>
      <c r="AK4" s="57"/>
      <c r="AL4" s="57"/>
      <c r="AM4" s="59">
        <v>0.17</v>
      </c>
      <c r="AN4" s="59"/>
      <c r="AO4" s="57"/>
      <c r="AP4" s="57"/>
      <c r="AQ4" s="59">
        <v>0.16</v>
      </c>
      <c r="AR4" s="59"/>
      <c r="AS4" s="57"/>
      <c r="AT4" s="57"/>
      <c r="AU4" s="59">
        <v>0.05</v>
      </c>
      <c r="AV4" s="59"/>
      <c r="AW4" s="57"/>
      <c r="AX4" s="57"/>
      <c r="AY4" s="14">
        <f>SUM(C4:AU4)</f>
        <v>1</v>
      </c>
      <c r="AZ4" s="13"/>
      <c r="BA4" s="13"/>
      <c r="BC4" s="194"/>
    </row>
    <row r="5" spans="1:68" x14ac:dyDescent="0.3">
      <c r="A5" s="175">
        <v>4100</v>
      </c>
      <c r="B5" s="125" t="s">
        <v>102</v>
      </c>
      <c r="C5" s="221">
        <f>(D5+(D5*E5))+((D5+(D5*E5))*F5)</f>
        <v>82940</v>
      </c>
      <c r="D5" s="158">
        <f>'[1]TTM Orignal - With Levers'!C5</f>
        <v>82940</v>
      </c>
      <c r="E5" s="215">
        <v>0</v>
      </c>
      <c r="F5" s="215">
        <v>0</v>
      </c>
      <c r="G5" s="221">
        <f>(H5+(H5*I5))+((H5+(H5*I5))*J5)</f>
        <v>74230</v>
      </c>
      <c r="H5" s="158">
        <f>'[1]TTM Orignal - With Levers'!D5</f>
        <v>74230</v>
      </c>
      <c r="I5" s="215">
        <v>0</v>
      </c>
      <c r="J5" s="215">
        <v>0</v>
      </c>
      <c r="K5" s="158">
        <f>(L5+(L5*M5))+((L5+(L5*M5))*N5)</f>
        <v>64090</v>
      </c>
      <c r="L5" s="158">
        <f>'[1]TTM Orignal - With Levers'!E5</f>
        <v>64090</v>
      </c>
      <c r="M5" s="215">
        <v>0</v>
      </c>
      <c r="N5" s="215">
        <v>0</v>
      </c>
      <c r="O5" s="443">
        <f>(P5+(P5*Q5))+((P5+(P5*Q5))*R5)</f>
        <v>59598.500000000007</v>
      </c>
      <c r="P5" s="443">
        <f>'[1]TTM Orignal - With Levers'!F5</f>
        <v>56225.000000000007</v>
      </c>
      <c r="Q5" s="444">
        <v>0</v>
      </c>
      <c r="R5" s="444">
        <v>0.06</v>
      </c>
      <c r="S5" s="443">
        <f>(T5+(T5*U5))+((T5+(T5*U5))*V5)</f>
        <v>46783.1</v>
      </c>
      <c r="T5" s="443">
        <f>'[1]TTM Orignal - With Levers'!G5</f>
        <v>44135</v>
      </c>
      <c r="U5" s="444">
        <v>0</v>
      </c>
      <c r="V5" s="444">
        <v>0.06</v>
      </c>
      <c r="W5" s="443">
        <f>(X5+(X5*Y5))+((X5+(X5*Y5))*Z5)</f>
        <v>54155.4</v>
      </c>
      <c r="X5" s="443">
        <f>'[1]TTM Orignal - With Levers'!H5</f>
        <v>51090</v>
      </c>
      <c r="Y5" s="445">
        <v>0</v>
      </c>
      <c r="Z5" s="444">
        <v>0.06</v>
      </c>
      <c r="AA5" s="443">
        <f>(AB5+(AB5*AC5))+((AB5+(AB5*AC5))*AD5)</f>
        <v>52639.6</v>
      </c>
      <c r="AB5" s="443">
        <f>'[1]TTM Orignal - With Levers'!I5</f>
        <v>49660</v>
      </c>
      <c r="AC5" s="444">
        <v>0</v>
      </c>
      <c r="AD5" s="444">
        <v>0.06</v>
      </c>
      <c r="AE5" s="443">
        <f>(AF5+(AF5*AG5))+((AF5+(AF5*AG5))*AH5)</f>
        <v>67760.394</v>
      </c>
      <c r="AF5" s="443">
        <f>'[1]TTM Orignal - With Levers'!J5</f>
        <v>57590</v>
      </c>
      <c r="AG5" s="444">
        <v>0.11</v>
      </c>
      <c r="AH5" s="444">
        <v>0.06</v>
      </c>
      <c r="AI5" s="443">
        <f>(AJ5+(AJ5*AK5))+((AJ5+(AJ5*AK5))*AL5)</f>
        <v>80129.322</v>
      </c>
      <c r="AJ5" s="443">
        <f>'[1]TTM Orignal - With Levers'!K5</f>
        <v>59995</v>
      </c>
      <c r="AK5" s="444">
        <v>0.26</v>
      </c>
      <c r="AL5" s="444">
        <v>0.06</v>
      </c>
      <c r="AM5" s="443">
        <f>(AN5+(AN5*AO5))+((AN5+(AN5*AO5))*AP5)</f>
        <v>115509.47199999999</v>
      </c>
      <c r="AN5" s="443">
        <f>'[1]TTM Orignal - With Levers'!L5</f>
        <v>87880</v>
      </c>
      <c r="AO5" s="444">
        <v>0.24</v>
      </c>
      <c r="AP5" s="444">
        <v>0.06</v>
      </c>
      <c r="AQ5" s="443">
        <f>(AR5+(AR5*AS5))+((AR5+(AR5*AS5))*AT5)</f>
        <v>102862.18800000001</v>
      </c>
      <c r="AR5" s="443">
        <f>'[1]TTM Orignal - With Levers'!M5</f>
        <v>82940</v>
      </c>
      <c r="AS5" s="444">
        <v>0.17</v>
      </c>
      <c r="AT5" s="444">
        <v>0.06</v>
      </c>
      <c r="AU5" s="443">
        <f>(AV5+(AV5*AW5))+((AV5+(AV5*AW5))*AX5)</f>
        <v>97495.100625000006</v>
      </c>
      <c r="AV5" s="158">
        <f>'[1]TTM Orignal - With Levers'!N5</f>
        <v>75724.350000000006</v>
      </c>
      <c r="AW5" s="248">
        <v>0.25</v>
      </c>
      <c r="AX5" s="248">
        <v>0.03</v>
      </c>
      <c r="AY5" s="63"/>
      <c r="AZ5" s="291">
        <f>'[1]TTM Original - Good'!P5</f>
        <v>786499.35</v>
      </c>
      <c r="BA5" s="294">
        <f>SUM(C5,G5,K5,O5,S5,W5,AA5,AE5,AI5,AM5,AQ5,AU5)</f>
        <v>898193.07662499987</v>
      </c>
      <c r="BB5" s="209">
        <f>(BE5+(BE5*BD5))</f>
        <v>898193.07662499987</v>
      </c>
      <c r="BC5" s="317">
        <v>0</v>
      </c>
      <c r="BD5" s="317">
        <v>0</v>
      </c>
      <c r="BE5" s="208">
        <f>(BA5+(BA5*BC5))</f>
        <v>898193.07662499987</v>
      </c>
      <c r="BF5" s="207">
        <f>(BA5+(BA5*BD5))</f>
        <v>898193.07662499987</v>
      </c>
      <c r="BG5" s="170">
        <f>BB5/$BB$9</f>
        <v>0.66537134573967582</v>
      </c>
    </row>
    <row r="6" spans="1:68" x14ac:dyDescent="0.3">
      <c r="A6" s="175">
        <v>4200</v>
      </c>
      <c r="B6" s="125" t="s">
        <v>103</v>
      </c>
      <c r="C6" s="221">
        <f>D6+(D6*E6)</f>
        <v>15312</v>
      </c>
      <c r="D6" s="158">
        <f>'[1]TTM Orignal - With Levers'!C6</f>
        <v>15312</v>
      </c>
      <c r="E6" s="215">
        <v>0</v>
      </c>
      <c r="F6" s="215">
        <v>0</v>
      </c>
      <c r="G6" s="221">
        <f>H6+(H6*I6)</f>
        <v>13704</v>
      </c>
      <c r="H6" s="158">
        <f>'[1]TTM Orignal - With Levers'!D6</f>
        <v>13704</v>
      </c>
      <c r="I6" s="215">
        <v>0</v>
      </c>
      <c r="J6" s="215">
        <v>0</v>
      </c>
      <c r="K6" s="158">
        <f>(L6+(L6*M6))+((L6+(L6*M6))*N6)</f>
        <v>11832</v>
      </c>
      <c r="L6" s="158">
        <f>'[1]TTM Orignal - With Levers'!E6</f>
        <v>11832</v>
      </c>
      <c r="M6" s="215">
        <v>0</v>
      </c>
      <c r="N6" s="215">
        <v>0</v>
      </c>
      <c r="O6" s="443">
        <f>(P6+(P6*Q6))+((P6+(P6*Q6))*R6)</f>
        <v>10691.4</v>
      </c>
      <c r="P6" s="443">
        <f>'[1]TTM Orignal - With Levers'!F6</f>
        <v>10380</v>
      </c>
      <c r="Q6" s="444">
        <v>0</v>
      </c>
      <c r="R6" s="444">
        <v>0.03</v>
      </c>
      <c r="S6" s="443">
        <f>(T6+(T6*U6))+((T6+(T6*U6))*V6)</f>
        <v>8392.44</v>
      </c>
      <c r="T6" s="443">
        <f>'[1]TTM Orignal - With Levers'!G6</f>
        <v>8148</v>
      </c>
      <c r="U6" s="444">
        <v>0</v>
      </c>
      <c r="V6" s="444">
        <v>0.03</v>
      </c>
      <c r="W6" s="443">
        <f>(X6+(X6*Y6))+((X6+(X6*Y6))*Z6)</f>
        <v>9714.9599999999991</v>
      </c>
      <c r="X6" s="443">
        <f>'[1]TTM Orignal - With Levers'!H6</f>
        <v>9432</v>
      </c>
      <c r="Y6" s="445">
        <v>0</v>
      </c>
      <c r="Z6" s="444">
        <v>0.03</v>
      </c>
      <c r="AA6" s="443">
        <f>(AB6+(AB6*AC6))+((AB6+(AB6*AC6))*AD6)</f>
        <v>9443.0400000000009</v>
      </c>
      <c r="AB6" s="443">
        <f>'[1]TTM Orignal - With Levers'!I6</f>
        <v>9168</v>
      </c>
      <c r="AC6" s="444">
        <v>0</v>
      </c>
      <c r="AD6" s="444">
        <v>0.03</v>
      </c>
      <c r="AE6" s="443">
        <f>(AF6+(AF6*AG6))+((AF6+(AF6*AG6))*AH6)</f>
        <v>11169.9792</v>
      </c>
      <c r="AF6" s="443">
        <f>'[1]TTM Orignal - With Levers'!J6</f>
        <v>10632</v>
      </c>
      <c r="AG6" s="444">
        <v>0.02</v>
      </c>
      <c r="AH6" s="444">
        <v>0.03</v>
      </c>
      <c r="AI6" s="443">
        <f>(AJ6+(AJ6*AK6))+((AJ6+(AJ6*AK6))*AL6)</f>
        <v>11750.528400000001</v>
      </c>
      <c r="AJ6" s="443">
        <f>'[1]TTM Orignal - With Levers'!K6</f>
        <v>11076</v>
      </c>
      <c r="AK6" s="444">
        <v>0.03</v>
      </c>
      <c r="AL6" s="444">
        <v>0.03</v>
      </c>
      <c r="AM6" s="443">
        <f>(AN6+(AN6*AO6))+((AN6+(AN6*AO6))*AP6)</f>
        <v>17212.0416</v>
      </c>
      <c r="AN6" s="443">
        <f>'[1]TTM Orignal - With Levers'!L6</f>
        <v>16224</v>
      </c>
      <c r="AO6" s="444">
        <v>0.03</v>
      </c>
      <c r="AP6" s="444">
        <v>0.03</v>
      </c>
      <c r="AQ6" s="443">
        <f>(AR6+(AR6*AS6))+((AR6+(AR6*AS6))*AT6)</f>
        <v>16402.214400000001</v>
      </c>
      <c r="AR6" s="443">
        <f>'[1]TTM Orignal - With Levers'!M6</f>
        <v>15312</v>
      </c>
      <c r="AS6" s="444">
        <v>0.04</v>
      </c>
      <c r="AT6" s="444">
        <v>0.03</v>
      </c>
      <c r="AU6" s="443">
        <f>(AV6+(AV6*AW6))+((AV6+(AV6*AW6))*AX6)</f>
        <v>15119.240220000003</v>
      </c>
      <c r="AV6" s="158">
        <f>'[1]TTM Orignal - With Levers'!N6</f>
        <v>13979.880000000003</v>
      </c>
      <c r="AW6" s="248">
        <v>0.05</v>
      </c>
      <c r="AX6" s="248">
        <v>0.03</v>
      </c>
      <c r="AY6" s="63"/>
      <c r="AZ6" s="292">
        <f>'[1]TTM Original - Good'!P6</f>
        <v>145199.88</v>
      </c>
      <c r="BA6" s="294">
        <f>SUM(C6,G6,K6,O6,S6,W6,AA6,AE6,AI6,AM6,AQ6,AU6)</f>
        <v>150743.84382000001</v>
      </c>
      <c r="BB6" s="209">
        <f>(BE6+(BE6*BD6))</f>
        <v>150743.84382000001</v>
      </c>
      <c r="BC6" s="317">
        <v>0</v>
      </c>
      <c r="BD6" s="317">
        <v>0</v>
      </c>
      <c r="BE6" s="208">
        <f>(BA6+(BA6*BC6))</f>
        <v>150743.84382000001</v>
      </c>
      <c r="BF6" s="207">
        <f>(BA6+(BA6*BD6))</f>
        <v>150743.84382000001</v>
      </c>
      <c r="BG6" s="170">
        <f>BB6/$BB$9</f>
        <v>0.111669346864005</v>
      </c>
    </row>
    <row r="7" spans="1:68" x14ac:dyDescent="0.3">
      <c r="A7" s="175">
        <v>4300</v>
      </c>
      <c r="B7" s="125" t="s">
        <v>104</v>
      </c>
      <c r="C7" s="221">
        <f>(D7+(D7*E7))</f>
        <v>11484</v>
      </c>
      <c r="D7" s="158">
        <f>'[1]TTM Orignal - With Levers'!C7</f>
        <v>11484</v>
      </c>
      <c r="E7" s="215">
        <v>0</v>
      </c>
      <c r="F7" s="215">
        <v>0</v>
      </c>
      <c r="G7" s="221">
        <f>(H7+(H7*I7))</f>
        <v>10278</v>
      </c>
      <c r="H7" s="158">
        <f>'[1]TTM Orignal - With Levers'!D7</f>
        <v>10278</v>
      </c>
      <c r="I7" s="215">
        <v>0</v>
      </c>
      <c r="J7" s="215">
        <v>0</v>
      </c>
      <c r="K7" s="158">
        <f>(L7+(L7*M7))+((L7+(L7*M7))*N7)</f>
        <v>8874</v>
      </c>
      <c r="L7" s="158">
        <f>'[1]TTM Orignal - With Levers'!E7</f>
        <v>8874</v>
      </c>
      <c r="M7" s="215">
        <v>0</v>
      </c>
      <c r="N7" s="215">
        <v>0</v>
      </c>
      <c r="O7" s="158">
        <f>(P7+(P7*Q7))+((P7+(P7*Q7))*R7)</f>
        <v>7785.0000000000009</v>
      </c>
      <c r="P7" s="158">
        <f>'[1]TTM Orignal - With Levers'!F7</f>
        <v>7785.0000000000009</v>
      </c>
      <c r="Q7" s="215">
        <v>0</v>
      </c>
      <c r="R7" s="215">
        <v>0</v>
      </c>
      <c r="S7" s="158">
        <f>(T7+(T7*U7))+((T7+(T7*U7))*V7)</f>
        <v>6111</v>
      </c>
      <c r="T7" s="158">
        <f>'[1]TTM Orignal - With Levers'!G7</f>
        <v>6111</v>
      </c>
      <c r="U7" s="215">
        <v>0</v>
      </c>
      <c r="V7" s="215">
        <v>0</v>
      </c>
      <c r="W7" s="158">
        <f>(X7+(X7*Y7))+((X7+(X7*Y7))*Z7)</f>
        <v>7074</v>
      </c>
      <c r="X7" s="158">
        <f>'[1]TTM Orignal - With Levers'!H7</f>
        <v>7074</v>
      </c>
      <c r="Y7" s="218">
        <v>0</v>
      </c>
      <c r="Z7" s="215">
        <v>0</v>
      </c>
      <c r="AA7" s="158">
        <f>(AB7+(AB7*AC7))+((AB7+(AB7*AC7))*AD7)</f>
        <v>6876</v>
      </c>
      <c r="AB7" s="158">
        <f>'[1]TTM Orignal - With Levers'!I7</f>
        <v>6876</v>
      </c>
      <c r="AC7" s="215">
        <v>0</v>
      </c>
      <c r="AD7" s="215">
        <v>0</v>
      </c>
      <c r="AE7" s="158">
        <f>(AF7+(AF7*AG7))+((AF7+(AF7*AG7))*AH7)</f>
        <v>7974</v>
      </c>
      <c r="AF7" s="158">
        <f>'[1]TTM Orignal - With Levers'!J7</f>
        <v>7974</v>
      </c>
      <c r="AG7" s="215">
        <v>0</v>
      </c>
      <c r="AH7" s="215">
        <v>0</v>
      </c>
      <c r="AI7" s="158">
        <f>(AJ7+(AJ7*AK7))+((AJ7+(AJ7*AK7))*AL7)</f>
        <v>8307</v>
      </c>
      <c r="AJ7" s="158">
        <f>'[1]TTM Orignal - With Levers'!K7</f>
        <v>8307</v>
      </c>
      <c r="AK7" s="215">
        <v>0</v>
      </c>
      <c r="AL7" s="215">
        <v>0</v>
      </c>
      <c r="AM7" s="158">
        <f>(AN7+(AN7*AO7))+((AN7+(AN7*AO7))*AP7)</f>
        <v>12168</v>
      </c>
      <c r="AN7" s="158">
        <f>'[1]TTM Orignal - With Levers'!L7</f>
        <v>12168</v>
      </c>
      <c r="AO7" s="215">
        <v>0</v>
      </c>
      <c r="AP7" s="215">
        <v>0</v>
      </c>
      <c r="AQ7" s="158">
        <f>(AR7+(AR7*AS7))+((AR7+(AR7*AS7))*AT7)</f>
        <v>11484</v>
      </c>
      <c r="AR7" s="158">
        <f>'[1]TTM Orignal - With Levers'!M7</f>
        <v>11484</v>
      </c>
      <c r="AS7" s="215">
        <v>0</v>
      </c>
      <c r="AT7" s="215">
        <v>0</v>
      </c>
      <c r="AU7" s="158">
        <f>(AV7+(AV7*AW7))+((AV7+(AV7*AW7))*AX7)</f>
        <v>10484.91</v>
      </c>
      <c r="AV7" s="158">
        <f>'[1]TTM Orignal - With Levers'!N7</f>
        <v>10484.91</v>
      </c>
      <c r="AW7" s="215">
        <v>0</v>
      </c>
      <c r="AX7" s="215">
        <v>0</v>
      </c>
      <c r="AY7" s="63"/>
      <c r="AZ7" s="292">
        <f>'[1]TTM Original - Good'!P7</f>
        <v>108899.91</v>
      </c>
      <c r="BA7" s="294">
        <f>SUM(C7,G7,K7,O7,S7,W7,AA7,AE7,AI7,AM7,AQ7,AU7)</f>
        <v>108899.91</v>
      </c>
      <c r="BB7" s="209">
        <f>(BE7+(BE7*BD7))</f>
        <v>108899.91</v>
      </c>
      <c r="BC7" s="317">
        <v>0</v>
      </c>
      <c r="BD7" s="317">
        <v>0</v>
      </c>
      <c r="BE7" s="208">
        <f>(BA7+(BA7*BC7))</f>
        <v>108899.91</v>
      </c>
      <c r="BF7" s="207">
        <f>(BA7+(BA7*BD7))</f>
        <v>108899.91</v>
      </c>
      <c r="BG7" s="170">
        <f>BB7/$BB$9</f>
        <v>8.0671830537702452E-2</v>
      </c>
    </row>
    <row r="8" spans="1:68" x14ac:dyDescent="0.3">
      <c r="A8" s="175">
        <v>4400</v>
      </c>
      <c r="B8" s="125" t="s">
        <v>105</v>
      </c>
      <c r="C8" s="221">
        <f>(D8+(D8*E8))</f>
        <v>15202.27</v>
      </c>
      <c r="D8" s="158">
        <f>'[1]TTM Orignal - With Levers'!C8</f>
        <v>15202.27</v>
      </c>
      <c r="E8" s="215">
        <v>0</v>
      </c>
      <c r="F8" s="215">
        <v>0</v>
      </c>
      <c r="G8" s="221">
        <f>(H8+(H8*I8))</f>
        <v>14680.33</v>
      </c>
      <c r="H8" s="158">
        <f>'[1]TTM Orignal - With Levers'!D8</f>
        <v>14680.33</v>
      </c>
      <c r="I8" s="215">
        <v>0</v>
      </c>
      <c r="J8" s="215">
        <v>0</v>
      </c>
      <c r="K8" s="443">
        <f>(L8+(L8*M8))+((L8+(L8*M8))*N8)</f>
        <v>15229.9656</v>
      </c>
      <c r="L8" s="443">
        <f>'[1]TTM Orignal - With Levers'!E8</f>
        <v>14101.82</v>
      </c>
      <c r="M8" s="444">
        <v>0.08</v>
      </c>
      <c r="N8" s="444">
        <v>0</v>
      </c>
      <c r="O8" s="443">
        <f>(P8+(P8*Q8))+((P8+(P8*Q8))*R8)</f>
        <v>14856.654999999999</v>
      </c>
      <c r="P8" s="443">
        <f>'[1]TTM Orignal - With Levers'!F8</f>
        <v>13506.05</v>
      </c>
      <c r="Q8" s="444">
        <v>0.1</v>
      </c>
      <c r="R8" s="444">
        <v>0</v>
      </c>
      <c r="S8" s="443">
        <f>(T8+(T8*U8))+((T8+(T8*U8))*V8)</f>
        <v>13806.287</v>
      </c>
      <c r="T8" s="443">
        <f>'[1]TTM Orignal - With Levers'!G8</f>
        <v>12551.17</v>
      </c>
      <c r="U8" s="444">
        <v>0.1</v>
      </c>
      <c r="V8" s="444">
        <v>0</v>
      </c>
      <c r="W8" s="443">
        <f>(X8+(X8*Y8))+((X8+(X8*Y8))*Z8)</f>
        <v>14547.5157</v>
      </c>
      <c r="X8" s="443">
        <f>'[1]TTM Orignal - With Levers'!H8</f>
        <v>13105.87</v>
      </c>
      <c r="Y8" s="444">
        <v>0.11</v>
      </c>
      <c r="Z8" s="444">
        <v>0</v>
      </c>
      <c r="AA8" s="443">
        <f>(AB8+(AB8*AC8))+((AB8+(AB8*AC8))*AD8)</f>
        <v>14474.0304</v>
      </c>
      <c r="AB8" s="443">
        <f>'[1]TTM Orignal - With Levers'!I8</f>
        <v>13401.88</v>
      </c>
      <c r="AC8" s="444">
        <v>0.08</v>
      </c>
      <c r="AD8" s="444">
        <v>0</v>
      </c>
      <c r="AE8" s="443">
        <f>(AF8+(AF8*AG8))+((AF8+(AF8*AG8))*AH8)</f>
        <v>15930.361199999999</v>
      </c>
      <c r="AF8" s="443">
        <f>'[1]TTM Orignal - With Levers'!J8</f>
        <v>13733.07</v>
      </c>
      <c r="AG8" s="444">
        <v>0.16</v>
      </c>
      <c r="AH8" s="444">
        <v>0</v>
      </c>
      <c r="AI8" s="443">
        <f>(AJ8+(AJ8*AK8))+((AJ8+(AJ8*AK8))*AL8)</f>
        <v>16755.303800000002</v>
      </c>
      <c r="AJ8" s="443">
        <f>'[1]TTM Orignal - With Levers'!K8</f>
        <v>14199.41</v>
      </c>
      <c r="AK8" s="444">
        <v>0.18</v>
      </c>
      <c r="AL8" s="444">
        <v>0</v>
      </c>
      <c r="AM8" s="443">
        <f>(AN8+(AN8*AO8))+((AN8+(AN8*AO8))*AP8)</f>
        <v>18335.050599999999</v>
      </c>
      <c r="AN8" s="443">
        <f>'[1]TTM Orignal - With Levers'!L8</f>
        <v>15028.73</v>
      </c>
      <c r="AO8" s="444">
        <v>0.22</v>
      </c>
      <c r="AP8" s="444">
        <v>0</v>
      </c>
      <c r="AQ8" s="443">
        <f>(AR8+(AR8*AS8))+((AR8+(AR8*AS8))*AT8)</f>
        <v>18888.974999999999</v>
      </c>
      <c r="AR8" s="443">
        <f>'[1]TTM Orignal - With Levers'!M8</f>
        <v>14991.25</v>
      </c>
      <c r="AS8" s="444">
        <v>0.26</v>
      </c>
      <c r="AT8" s="444">
        <v>0</v>
      </c>
      <c r="AU8" s="443">
        <f>(AV8+(AV8*AW8))+((AV8+(AV8*AW8))*AX8)</f>
        <v>19368.895</v>
      </c>
      <c r="AV8" s="158">
        <f>'[1]TTM Orignal - With Levers'!N8</f>
        <v>14899.15</v>
      </c>
      <c r="AW8" s="248">
        <v>0.3</v>
      </c>
      <c r="AX8" s="215">
        <v>0</v>
      </c>
      <c r="AY8" s="63"/>
      <c r="AZ8" s="292">
        <f>'[1]TTM Original - Good'!P8</f>
        <v>169401</v>
      </c>
      <c r="BA8" s="294">
        <f>SUM(C8,G8,K8,O8,S8,W8,AA8,AE8,AI8,AM8,AQ8,AU8)</f>
        <v>192075.63929999998</v>
      </c>
      <c r="BB8" s="209">
        <f>(BE8+(BE8*BD8))</f>
        <v>192075.63929999998</v>
      </c>
      <c r="BC8" s="317">
        <v>0</v>
      </c>
      <c r="BD8" s="317">
        <v>0</v>
      </c>
      <c r="BE8" s="208">
        <f>(BA8+(BA8*BC8))</f>
        <v>192075.63929999998</v>
      </c>
      <c r="BF8" s="207">
        <f>(BA8+(BA8*BD8))</f>
        <v>192075.63929999998</v>
      </c>
      <c r="BG8" s="170">
        <f>BB8/$BB$9</f>
        <v>0.14228747685861687</v>
      </c>
    </row>
    <row r="9" spans="1:68" ht="15" thickBot="1" x14ac:dyDescent="0.35">
      <c r="A9" s="176"/>
      <c r="B9" s="65" t="s">
        <v>61</v>
      </c>
      <c r="C9" s="157">
        <f>SUM(C5:C8)</f>
        <v>124938.27</v>
      </c>
      <c r="D9" s="157"/>
      <c r="E9" s="157"/>
      <c r="F9" s="157"/>
      <c r="G9" s="157">
        <f>SUM(G5:G8)</f>
        <v>112892.33</v>
      </c>
      <c r="H9" s="157"/>
      <c r="I9" s="157"/>
      <c r="J9" s="157"/>
      <c r="K9" s="157">
        <f>SUM(K5:K8)</f>
        <v>100025.9656</v>
      </c>
      <c r="L9" s="157"/>
      <c r="M9" s="157"/>
      <c r="N9" s="157"/>
      <c r="O9" s="157">
        <f>SUM(O5:O8)</f>
        <v>92931.555000000008</v>
      </c>
      <c r="P9" s="157"/>
      <c r="Q9" s="157"/>
      <c r="R9" s="157"/>
      <c r="S9" s="157">
        <f>SUM(S5:S8)</f>
        <v>75092.827000000005</v>
      </c>
      <c r="T9" s="157"/>
      <c r="U9" s="157"/>
      <c r="V9" s="157"/>
      <c r="W9" s="157">
        <f>SUM(W5:W8)</f>
        <v>85491.875700000004</v>
      </c>
      <c r="X9" s="157"/>
      <c r="Y9" s="157"/>
      <c r="Z9" s="157"/>
      <c r="AA9" s="157">
        <f>SUM(AA5:AA8)</f>
        <v>83432.670400000003</v>
      </c>
      <c r="AB9" s="157"/>
      <c r="AC9" s="157"/>
      <c r="AD9" s="157"/>
      <c r="AE9" s="157">
        <f>SUM(AE5:AE8)</f>
        <v>102834.7344</v>
      </c>
      <c r="AF9" s="157"/>
      <c r="AG9" s="157"/>
      <c r="AH9" s="157"/>
      <c r="AI9" s="157">
        <f>SUM(AI5:AI8)</f>
        <v>116942.15419999999</v>
      </c>
      <c r="AJ9" s="157"/>
      <c r="AK9" s="157"/>
      <c r="AL9" s="157"/>
      <c r="AM9" s="157">
        <f>SUM(AM5:AM8)</f>
        <v>163224.56419999999</v>
      </c>
      <c r="AN9" s="157"/>
      <c r="AO9" s="157"/>
      <c r="AP9" s="157"/>
      <c r="AQ9" s="157">
        <f>SUM(AQ5:AQ8)</f>
        <v>149637.3774</v>
      </c>
      <c r="AR9" s="157"/>
      <c r="AS9" s="157"/>
      <c r="AT9" s="157"/>
      <c r="AU9" s="157">
        <f>SUM(AU5:AU8)</f>
        <v>142468.14584500002</v>
      </c>
      <c r="AV9" s="157"/>
      <c r="AW9" s="157"/>
      <c r="AX9" s="157"/>
      <c r="AY9" s="258">
        <f>SUM(AY5:AY8)</f>
        <v>0</v>
      </c>
      <c r="AZ9" s="293">
        <f>SUM(AZ5:AZ8)</f>
        <v>1210000.1400000001</v>
      </c>
      <c r="BA9" s="258">
        <f>SUM(BA5:BA8)</f>
        <v>1349912.4697449997</v>
      </c>
      <c r="BB9" s="69">
        <f>SUM(BB5:BB8)</f>
        <v>1349912.4697449997</v>
      </c>
      <c r="BE9" s="69">
        <f>SUM(BE5:BE8)</f>
        <v>1349912.4697449997</v>
      </c>
      <c r="BF9" s="69">
        <f>SUM(BF5:BF8)</f>
        <v>1349912.4697449997</v>
      </c>
      <c r="BG9" s="171">
        <f>SUM(BG5:BG8)</f>
        <v>1</v>
      </c>
    </row>
    <row r="10" spans="1:68" ht="15" hidden="1" customHeight="1" x14ac:dyDescent="0.3">
      <c r="A10" s="50"/>
      <c r="B10" s="70" t="s">
        <v>62</v>
      </c>
      <c r="C10" s="71" t="e">
        <f>SUM(C$89+C$94)/#REF!</f>
        <v>#REF!</v>
      </c>
      <c r="D10" s="71"/>
      <c r="E10" s="71"/>
      <c r="F10" s="71"/>
      <c r="G10" s="15" t="e">
        <f>SUM(G$89+G$94)/#REF!</f>
        <v>#REF!</v>
      </c>
      <c r="H10" s="71"/>
      <c r="I10" s="71"/>
      <c r="J10" s="71"/>
      <c r="K10" s="15" t="e">
        <f>SUM(K$89+K$94)/#REF!</f>
        <v>#REF!</v>
      </c>
      <c r="L10" s="15"/>
      <c r="M10" s="71"/>
      <c r="N10" s="71"/>
      <c r="O10" s="15" t="e">
        <f>SUM(O$89+O$94)/#REF!</f>
        <v>#REF!</v>
      </c>
      <c r="P10" s="15"/>
      <c r="Q10" s="71"/>
      <c r="R10" s="71"/>
      <c r="S10" s="15" t="e">
        <f>SUM(S$89+S$94)/#REF!</f>
        <v>#REF!</v>
      </c>
      <c r="T10" s="15"/>
      <c r="U10" s="71"/>
      <c r="V10" s="71"/>
      <c r="W10" s="15" t="e">
        <f>SUM(W$89+W$94)/#REF!</f>
        <v>#REF!</v>
      </c>
      <c r="X10" s="15"/>
      <c r="Y10" s="71"/>
      <c r="Z10" s="71"/>
      <c r="AA10" s="15" t="e">
        <f>SUM(AA$89+AA$94)/#REF!</f>
        <v>#REF!</v>
      </c>
      <c r="AB10" s="15"/>
      <c r="AC10" s="71"/>
      <c r="AD10" s="71"/>
      <c r="AE10" s="15" t="e">
        <f>SUM(AE$89+AE$94)/#REF!</f>
        <v>#REF!</v>
      </c>
      <c r="AF10" s="15"/>
      <c r="AG10" s="71"/>
      <c r="AH10" s="71"/>
      <c r="AI10" s="15" t="e">
        <f>SUM(AI$89+AI$94)/#REF!</f>
        <v>#REF!</v>
      </c>
      <c r="AJ10" s="15"/>
      <c r="AK10" s="71"/>
      <c r="AL10" s="71"/>
      <c r="AM10" s="15" t="e">
        <f>SUM(AM$89+AM$94)/#REF!</f>
        <v>#REF!</v>
      </c>
      <c r="AN10" s="15"/>
      <c r="AO10" s="71"/>
      <c r="AP10" s="71"/>
      <c r="AQ10" s="15" t="e">
        <f>SUM(AQ$89+AQ$94)/#REF!</f>
        <v>#REF!</v>
      </c>
      <c r="AR10" s="15"/>
      <c r="AS10" s="71"/>
      <c r="AT10" s="71"/>
      <c r="AU10" s="15" t="e">
        <f>SUM(AU$89+AU$94)/#REF!</f>
        <v>#REF!</v>
      </c>
      <c r="AV10" s="15"/>
      <c r="AW10" s="71"/>
      <c r="AX10" s="71"/>
      <c r="AY10" s="16" t="e">
        <f>SUM(AY$89+AY$94)/#REF!</f>
        <v>#REF!</v>
      </c>
      <c r="AZ10" s="137" t="e">
        <v>#REF!</v>
      </c>
      <c r="BA10" s="268" t="e">
        <f>SUM(BA$89+BA$94)/#REF!</f>
        <v>#REF!</v>
      </c>
      <c r="BC10" s="150"/>
    </row>
    <row r="11" spans="1:68" x14ac:dyDescent="0.3">
      <c r="A11" s="177"/>
      <c r="B11" s="73"/>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9"/>
      <c r="BA11" s="19"/>
      <c r="BC11" s="151"/>
    </row>
    <row r="12" spans="1:68" ht="15" thickBot="1" x14ac:dyDescent="0.35">
      <c r="A12" s="176"/>
      <c r="B12" s="167" t="s">
        <v>106</v>
      </c>
      <c r="C12" s="9"/>
      <c r="D12" s="9"/>
      <c r="E12" s="9"/>
      <c r="F12" s="9"/>
      <c r="G12" s="5"/>
      <c r="H12" s="9"/>
      <c r="I12" s="9"/>
      <c r="J12" s="9"/>
      <c r="K12" s="5"/>
      <c r="L12" s="5"/>
      <c r="M12" s="9"/>
      <c r="N12" s="9"/>
      <c r="O12" s="5"/>
      <c r="P12" s="5"/>
      <c r="Q12" s="9"/>
      <c r="R12" s="9"/>
      <c r="S12" s="5"/>
      <c r="T12" s="5"/>
      <c r="U12" s="9"/>
      <c r="V12" s="9"/>
      <c r="W12" s="6"/>
      <c r="X12" s="6"/>
      <c r="Y12" s="9"/>
      <c r="Z12" s="9"/>
      <c r="AA12" s="6"/>
      <c r="AB12" s="6"/>
      <c r="AC12" s="9"/>
      <c r="AD12" s="9"/>
      <c r="AE12" s="6"/>
      <c r="AF12" s="6"/>
      <c r="AG12" s="9"/>
      <c r="AH12" s="9"/>
      <c r="AI12" s="6"/>
      <c r="AJ12" s="6"/>
      <c r="AK12" s="9"/>
      <c r="AL12" s="9"/>
      <c r="AM12" s="6"/>
      <c r="AN12" s="6"/>
      <c r="AO12" s="9"/>
      <c r="AP12" s="9"/>
      <c r="AQ12" s="6"/>
      <c r="AR12" s="6"/>
      <c r="AS12" s="9"/>
      <c r="AT12" s="9"/>
      <c r="AU12" s="6"/>
      <c r="AV12" s="6"/>
      <c r="AW12" s="9"/>
      <c r="AX12" s="9"/>
      <c r="AY12" s="7"/>
      <c r="AZ12" s="8"/>
      <c r="BA12" s="8"/>
      <c r="BC12" s="195"/>
    </row>
    <row r="13" spans="1:68" hidden="1" x14ac:dyDescent="0.3">
      <c r="A13" s="176"/>
      <c r="B13" s="352" t="s">
        <v>146</v>
      </c>
      <c r="C13" s="348">
        <f t="shared" ref="C13:AH13" si="0">(C5/C15)</f>
        <v>13823.333333333334</v>
      </c>
      <c r="D13" s="351">
        <f t="shared" si="0"/>
        <v>15000</v>
      </c>
      <c r="E13" s="351" t="e">
        <f t="shared" si="0"/>
        <v>#DIV/0!</v>
      </c>
      <c r="F13" s="351" t="e">
        <f t="shared" si="0"/>
        <v>#DIV/0!</v>
      </c>
      <c r="G13" s="351">
        <f t="shared" si="0"/>
        <v>14846</v>
      </c>
      <c r="H13" s="351">
        <f t="shared" si="0"/>
        <v>14999.999999999998</v>
      </c>
      <c r="I13" s="351" t="e">
        <f t="shared" si="0"/>
        <v>#DIV/0!</v>
      </c>
      <c r="J13" s="351" t="e">
        <f t="shared" si="0"/>
        <v>#DIV/0!</v>
      </c>
      <c r="K13" s="351">
        <f t="shared" si="0"/>
        <v>16022.5</v>
      </c>
      <c r="L13" s="351">
        <f t="shared" si="0"/>
        <v>15000</v>
      </c>
      <c r="M13" s="351" t="e">
        <f t="shared" si="0"/>
        <v>#DIV/0!</v>
      </c>
      <c r="N13" s="351" t="e">
        <f t="shared" si="0"/>
        <v>#DIV/0!</v>
      </c>
      <c r="O13" s="351">
        <f t="shared" si="0"/>
        <v>14899.625000000002</v>
      </c>
      <c r="P13" s="351">
        <f t="shared" si="0"/>
        <v>15000</v>
      </c>
      <c r="Q13" s="351" t="e">
        <f t="shared" si="0"/>
        <v>#DIV/0!</v>
      </c>
      <c r="R13" s="351">
        <f t="shared" si="0"/>
        <v>15000</v>
      </c>
      <c r="S13" s="351">
        <f t="shared" si="0"/>
        <v>15594.366666666667</v>
      </c>
      <c r="T13" s="351">
        <f t="shared" si="0"/>
        <v>15000</v>
      </c>
      <c r="U13" s="351" t="e">
        <f t="shared" si="0"/>
        <v>#DIV/0!</v>
      </c>
      <c r="V13" s="351">
        <f t="shared" si="0"/>
        <v>15000</v>
      </c>
      <c r="W13" s="351">
        <f t="shared" si="0"/>
        <v>18051.8</v>
      </c>
      <c r="X13" s="351">
        <f t="shared" si="0"/>
        <v>15000</v>
      </c>
      <c r="Y13" s="351" t="e">
        <f t="shared" si="0"/>
        <v>#DIV/0!</v>
      </c>
      <c r="Z13" s="351">
        <f t="shared" si="0"/>
        <v>15000</v>
      </c>
      <c r="AA13" s="351">
        <f t="shared" si="0"/>
        <v>17546.533333333333</v>
      </c>
      <c r="AB13" s="351">
        <f t="shared" si="0"/>
        <v>15000</v>
      </c>
      <c r="AC13" s="351" t="e">
        <f t="shared" si="0"/>
        <v>#DIV/0!</v>
      </c>
      <c r="AD13" s="351">
        <f t="shared" si="0"/>
        <v>15000</v>
      </c>
      <c r="AE13" s="351">
        <f t="shared" si="0"/>
        <v>13552.078799999999</v>
      </c>
      <c r="AF13" s="351">
        <f t="shared" si="0"/>
        <v>15000</v>
      </c>
      <c r="AG13" s="351">
        <f t="shared" si="0"/>
        <v>15000</v>
      </c>
      <c r="AH13" s="351">
        <f t="shared" si="0"/>
        <v>15000</v>
      </c>
      <c r="AI13" s="351">
        <f t="shared" ref="AI13:BB13" si="1">(AI5/AI15)</f>
        <v>16025.8644</v>
      </c>
      <c r="AJ13" s="351">
        <f t="shared" si="1"/>
        <v>15000</v>
      </c>
      <c r="AK13" s="351">
        <f t="shared" si="1"/>
        <v>15000.000000000002</v>
      </c>
      <c r="AL13" s="351">
        <f t="shared" si="1"/>
        <v>15000</v>
      </c>
      <c r="AM13" s="351">
        <f t="shared" si="1"/>
        <v>14438.683999999999</v>
      </c>
      <c r="AN13" s="351">
        <f t="shared" si="1"/>
        <v>15000.000000000002</v>
      </c>
      <c r="AO13" s="351">
        <f t="shared" si="1"/>
        <v>15000</v>
      </c>
      <c r="AP13" s="351">
        <f t="shared" si="1"/>
        <v>15000</v>
      </c>
      <c r="AQ13" s="351">
        <f t="shared" si="1"/>
        <v>14694.598285714286</v>
      </c>
      <c r="AR13" s="351">
        <f t="shared" si="1"/>
        <v>15000</v>
      </c>
      <c r="AS13" s="351">
        <f t="shared" si="1"/>
        <v>15000</v>
      </c>
      <c r="AT13" s="351">
        <f t="shared" si="1"/>
        <v>15000</v>
      </c>
      <c r="AU13" s="351">
        <f t="shared" si="1"/>
        <v>16249.183437500002</v>
      </c>
      <c r="AV13" s="351" t="e">
        <f t="shared" si="1"/>
        <v>#DIV/0!</v>
      </c>
      <c r="AW13" s="351" t="e">
        <f t="shared" si="1"/>
        <v>#DIV/0!</v>
      </c>
      <c r="AX13" s="351" t="e">
        <f t="shared" si="1"/>
        <v>#DIV/0!</v>
      </c>
      <c r="AY13" s="351" t="e">
        <f t="shared" si="1"/>
        <v>#DIV/0!</v>
      </c>
      <c r="AZ13" s="351">
        <f t="shared" si="1"/>
        <v>15124.987499999999</v>
      </c>
      <c r="BA13" s="351">
        <f t="shared" si="1"/>
        <v>15223.611468220337</v>
      </c>
      <c r="BB13" s="351">
        <f t="shared" si="1"/>
        <v>15223.611468220337</v>
      </c>
      <c r="BE13" s="353"/>
      <c r="BF13" s="353"/>
    </row>
    <row r="14" spans="1:68" hidden="1" x14ac:dyDescent="0.3">
      <c r="A14" s="176"/>
      <c r="B14" s="352" t="s">
        <v>147</v>
      </c>
      <c r="C14" s="348">
        <f t="shared" ref="C14:AH14" si="2">(C5/C15)-(C21/C15)</f>
        <v>4251.1717071667008</v>
      </c>
      <c r="D14" s="351">
        <f t="shared" si="2"/>
        <v>15000</v>
      </c>
      <c r="E14" s="351" t="e">
        <f t="shared" si="2"/>
        <v>#DIV/0!</v>
      </c>
      <c r="F14" s="351" t="e">
        <f t="shared" si="2"/>
        <v>#DIV/0!</v>
      </c>
      <c r="G14" s="351">
        <f t="shared" si="2"/>
        <v>4451.8925607376532</v>
      </c>
      <c r="H14" s="351">
        <f t="shared" si="2"/>
        <v>14999.999999999998</v>
      </c>
      <c r="I14" s="351" t="e">
        <f t="shared" si="2"/>
        <v>#DIV/0!</v>
      </c>
      <c r="J14" s="351" t="e">
        <f t="shared" si="2"/>
        <v>#DIV/0!</v>
      </c>
      <c r="K14" s="351">
        <f t="shared" si="2"/>
        <v>4919.3012969432184</v>
      </c>
      <c r="L14" s="351">
        <f t="shared" si="2"/>
        <v>15000</v>
      </c>
      <c r="M14" s="351" t="e">
        <f t="shared" si="2"/>
        <v>#DIV/0!</v>
      </c>
      <c r="N14" s="351" t="e">
        <f t="shared" si="2"/>
        <v>#DIV/0!</v>
      </c>
      <c r="O14" s="351">
        <f t="shared" si="2"/>
        <v>5065.3523041134758</v>
      </c>
      <c r="P14" s="351">
        <f t="shared" si="2"/>
        <v>15000</v>
      </c>
      <c r="Q14" s="351" t="e">
        <f t="shared" si="2"/>
        <v>#DIV/0!</v>
      </c>
      <c r="R14" s="351">
        <f t="shared" si="2"/>
        <v>15000</v>
      </c>
      <c r="S14" s="351">
        <f t="shared" si="2"/>
        <v>5353.8036579369091</v>
      </c>
      <c r="T14" s="351">
        <f t="shared" si="2"/>
        <v>15000</v>
      </c>
      <c r="U14" s="351" t="e">
        <f t="shared" si="2"/>
        <v>#DIV/0!</v>
      </c>
      <c r="V14" s="351">
        <f t="shared" si="2"/>
        <v>15000</v>
      </c>
      <c r="W14" s="351">
        <f t="shared" si="2"/>
        <v>6197.4811121331531</v>
      </c>
      <c r="X14" s="351">
        <f t="shared" si="2"/>
        <v>15000</v>
      </c>
      <c r="Y14" s="351" t="e">
        <f t="shared" si="2"/>
        <v>#DIV/0!</v>
      </c>
      <c r="Z14" s="351">
        <f t="shared" si="2"/>
        <v>15000</v>
      </c>
      <c r="AA14" s="351">
        <f t="shared" si="2"/>
        <v>6024.0147196815833</v>
      </c>
      <c r="AB14" s="351">
        <f t="shared" si="2"/>
        <v>15000</v>
      </c>
      <c r="AC14" s="351" t="e">
        <f t="shared" si="2"/>
        <v>#DIV/0!</v>
      </c>
      <c r="AD14" s="351">
        <f t="shared" si="2"/>
        <v>15000</v>
      </c>
      <c r="AE14" s="351">
        <f t="shared" si="2"/>
        <v>4659.9296780585755</v>
      </c>
      <c r="AF14" s="351">
        <f t="shared" si="2"/>
        <v>15000</v>
      </c>
      <c r="AG14" s="351">
        <f t="shared" si="2"/>
        <v>15000</v>
      </c>
      <c r="AH14" s="351">
        <f t="shared" si="2"/>
        <v>15000</v>
      </c>
      <c r="AI14" s="351">
        <f t="shared" ref="AI14:BB14" si="3">(AI5/AI15)-(AI21/AI15)</f>
        <v>5571.709316731336</v>
      </c>
      <c r="AJ14" s="351">
        <f t="shared" si="3"/>
        <v>15000</v>
      </c>
      <c r="AK14" s="351">
        <f t="shared" si="3"/>
        <v>15000.000000000002</v>
      </c>
      <c r="AL14" s="351">
        <f t="shared" si="3"/>
        <v>15000</v>
      </c>
      <c r="AM14" s="351">
        <f t="shared" si="3"/>
        <v>5032.8922538911174</v>
      </c>
      <c r="AN14" s="351">
        <f t="shared" si="3"/>
        <v>15000.000000000002</v>
      </c>
      <c r="AO14" s="351">
        <f t="shared" si="3"/>
        <v>15000</v>
      </c>
      <c r="AP14" s="351">
        <f t="shared" si="3"/>
        <v>15000</v>
      </c>
      <c r="AQ14" s="351">
        <f t="shared" si="3"/>
        <v>4765.5924514709768</v>
      </c>
      <c r="AR14" s="351">
        <f t="shared" si="3"/>
        <v>15000</v>
      </c>
      <c r="AS14" s="351">
        <f t="shared" si="3"/>
        <v>15000</v>
      </c>
      <c r="AT14" s="351">
        <f t="shared" si="3"/>
        <v>15000</v>
      </c>
      <c r="AU14" s="351">
        <f t="shared" si="3"/>
        <v>5229.3076617762199</v>
      </c>
      <c r="AV14" s="351" t="e">
        <f t="shared" si="3"/>
        <v>#DIV/0!</v>
      </c>
      <c r="AW14" s="351" t="e">
        <f t="shared" si="3"/>
        <v>#DIV/0!</v>
      </c>
      <c r="AX14" s="351" t="e">
        <f t="shared" si="3"/>
        <v>#DIV/0!</v>
      </c>
      <c r="AY14" s="350" t="e">
        <f t="shared" si="3"/>
        <v>#DIV/0!</v>
      </c>
      <c r="AZ14" s="349">
        <f t="shared" si="3"/>
        <v>4596.7237233039341</v>
      </c>
      <c r="BA14" s="348">
        <f t="shared" si="3"/>
        <v>5026.9039331559779</v>
      </c>
      <c r="BB14" s="351">
        <f t="shared" si="3"/>
        <v>5026.9039331559779</v>
      </c>
      <c r="BE14" s="351">
        <f>(BE5/BE15)-(BE21/BE15)</f>
        <v>5026.9039331559779</v>
      </c>
      <c r="BF14" s="351">
        <f>(BF5/BF15)-(BF21/BF15)</f>
        <v>5026.9039331559779</v>
      </c>
    </row>
    <row r="15" spans="1:68" x14ac:dyDescent="0.3">
      <c r="A15" s="176"/>
      <c r="B15" s="352" t="s">
        <v>148</v>
      </c>
      <c r="C15" s="396">
        <v>6</v>
      </c>
      <c r="D15" s="395">
        <f>D5/15000</f>
        <v>5.5293333333333337</v>
      </c>
      <c r="E15" s="395">
        <f>E5/15000</f>
        <v>0</v>
      </c>
      <c r="F15" s="395">
        <f>F5/15000</f>
        <v>0</v>
      </c>
      <c r="G15" s="395">
        <v>5</v>
      </c>
      <c r="H15" s="395">
        <f>H5/15000</f>
        <v>4.948666666666667</v>
      </c>
      <c r="I15" s="395">
        <f>I5/15000</f>
        <v>0</v>
      </c>
      <c r="J15" s="395">
        <f>J5/15000</f>
        <v>0</v>
      </c>
      <c r="K15" s="395">
        <v>4</v>
      </c>
      <c r="L15" s="395">
        <f>L5/15000</f>
        <v>4.2726666666666668</v>
      </c>
      <c r="M15" s="395">
        <f>M5/15000</f>
        <v>0</v>
      </c>
      <c r="N15" s="395">
        <f>N5/15000</f>
        <v>0</v>
      </c>
      <c r="O15" s="395">
        <v>4</v>
      </c>
      <c r="P15" s="395">
        <f>P5/15000</f>
        <v>3.748333333333334</v>
      </c>
      <c r="Q15" s="395">
        <f>Q5/15000</f>
        <v>0</v>
      </c>
      <c r="R15" s="395">
        <f>R5/15000</f>
        <v>3.9999999999999998E-6</v>
      </c>
      <c r="S15" s="395">
        <v>3</v>
      </c>
      <c r="T15" s="395">
        <f>T5/15000</f>
        <v>2.9423333333333335</v>
      </c>
      <c r="U15" s="395">
        <f>U5/15000</f>
        <v>0</v>
      </c>
      <c r="V15" s="395">
        <f>V5/15000</f>
        <v>3.9999999999999998E-6</v>
      </c>
      <c r="W15" s="395">
        <v>3</v>
      </c>
      <c r="X15" s="395">
        <f>X5/15000</f>
        <v>3.4060000000000001</v>
      </c>
      <c r="Y15" s="395">
        <f>Y5/15000</f>
        <v>0</v>
      </c>
      <c r="Z15" s="395">
        <f>Z5/15000</f>
        <v>3.9999999999999998E-6</v>
      </c>
      <c r="AA15" s="395">
        <v>3</v>
      </c>
      <c r="AB15" s="395">
        <f>AB5/15000</f>
        <v>3.3106666666666666</v>
      </c>
      <c r="AC15" s="395">
        <f>AC5/15000</f>
        <v>0</v>
      </c>
      <c r="AD15" s="395">
        <f>AD5/15000</f>
        <v>3.9999999999999998E-6</v>
      </c>
      <c r="AE15" s="395">
        <v>5</v>
      </c>
      <c r="AF15" s="395">
        <f>AF5/15000</f>
        <v>3.8393333333333333</v>
      </c>
      <c r="AG15" s="395">
        <f>AG5/15000</f>
        <v>7.3333333333333331E-6</v>
      </c>
      <c r="AH15" s="395">
        <f>AH5/15000</f>
        <v>3.9999999999999998E-6</v>
      </c>
      <c r="AI15" s="395">
        <v>5</v>
      </c>
      <c r="AJ15" s="395">
        <f>AJ5/15000</f>
        <v>3.9996666666666667</v>
      </c>
      <c r="AK15" s="395">
        <f>AK5/15000</f>
        <v>1.7333333333333332E-5</v>
      </c>
      <c r="AL15" s="395">
        <f>AL5/15000</f>
        <v>3.9999999999999998E-6</v>
      </c>
      <c r="AM15" s="395">
        <v>8</v>
      </c>
      <c r="AN15" s="395">
        <f>AN5/15000</f>
        <v>5.8586666666666662</v>
      </c>
      <c r="AO15" s="395">
        <f>AO5/15000</f>
        <v>1.5999999999999999E-5</v>
      </c>
      <c r="AP15" s="395">
        <f>AP5/15000</f>
        <v>3.9999999999999998E-6</v>
      </c>
      <c r="AQ15" s="395">
        <v>7</v>
      </c>
      <c r="AR15" s="395">
        <f>AR5/15000</f>
        <v>5.5293333333333337</v>
      </c>
      <c r="AS15" s="395">
        <f>AS5/15000</f>
        <v>1.1333333333333334E-5</v>
      </c>
      <c r="AT15" s="395">
        <f>AT5/15000</f>
        <v>3.9999999999999998E-6</v>
      </c>
      <c r="AU15" s="395">
        <v>6</v>
      </c>
      <c r="AV15" s="12"/>
      <c r="AW15" s="11"/>
      <c r="AX15" s="11"/>
      <c r="AY15" s="12"/>
      <c r="AZ15" s="394">
        <v>52</v>
      </c>
      <c r="BA15" s="355">
        <f>SUM(C15+G15+K15+O15+S15+W15+AA15+AE15+AI15+AM15+AQ15+AU15)</f>
        <v>59</v>
      </c>
      <c r="BB15" s="353">
        <f t="shared" ref="BB15:BB20" si="4">BE15</f>
        <v>59</v>
      </c>
      <c r="BE15" s="353">
        <f>BA15+(BA15*BC5)</f>
        <v>59</v>
      </c>
      <c r="BF15" s="353">
        <f t="shared" ref="BF15:BF20" si="5">BA15</f>
        <v>59</v>
      </c>
    </row>
    <row r="16" spans="1:68" x14ac:dyDescent="0.3">
      <c r="A16" s="176">
        <v>5110</v>
      </c>
      <c r="B16" s="168" t="s">
        <v>107</v>
      </c>
      <c r="C16" s="346">
        <f>D16+(D16*E16)</f>
        <v>42318.944065243028</v>
      </c>
      <c r="D16" s="344">
        <f>'[1]TTM Orignal - With Levers'!C13</f>
        <v>42318.944065243028</v>
      </c>
      <c r="E16" s="345">
        <v>0</v>
      </c>
      <c r="F16" s="393"/>
      <c r="G16" s="346">
        <f>H16+(H16*I16)</f>
        <v>37874.791632059198</v>
      </c>
      <c r="H16" s="344">
        <f>'[1]TTM Orignal - With Levers'!D13</f>
        <v>37874.791632059198</v>
      </c>
      <c r="I16" s="345">
        <v>0</v>
      </c>
      <c r="J16" s="393"/>
      <c r="K16" s="346">
        <f>L16+(L16*M16)</f>
        <v>32701.002232233252</v>
      </c>
      <c r="L16" s="344">
        <f>'[1]TTM Orignal - With Levers'!E13</f>
        <v>32701.002232233252</v>
      </c>
      <c r="M16" s="345">
        <v>0</v>
      </c>
      <c r="N16" s="393"/>
      <c r="O16" s="346">
        <f>P16+(P16*Q16)</f>
        <v>28687.998915701588</v>
      </c>
      <c r="P16" s="344">
        <f>'[1]TTM Orignal - With Levers'!F13</f>
        <v>28687.998915701588</v>
      </c>
      <c r="Q16" s="345">
        <v>0</v>
      </c>
      <c r="R16" s="393"/>
      <c r="S16" s="346">
        <f>T16+(T16*U16)</f>
        <v>22519.250015909103</v>
      </c>
      <c r="T16" s="344">
        <f>'[1]TTM Orignal - With Levers'!G13</f>
        <v>22519.250015909103</v>
      </c>
      <c r="U16" s="345">
        <v>0</v>
      </c>
      <c r="V16" s="393"/>
      <c r="W16" s="346">
        <f>X16+(X16*Y16)</f>
        <v>26067.938899123055</v>
      </c>
      <c r="X16" s="344">
        <f>'[1]TTM Orignal - With Levers'!H13</f>
        <v>26067.938899123055</v>
      </c>
      <c r="Y16" s="345">
        <v>0</v>
      </c>
      <c r="Z16" s="393"/>
      <c r="AA16" s="346">
        <f>AB16+(AB16*AC16)</f>
        <v>25338.301932480936</v>
      </c>
      <c r="AB16" s="344">
        <f>'[1]TTM Orignal - With Levers'!I13</f>
        <v>25338.301932480936</v>
      </c>
      <c r="AC16" s="345">
        <v>0</v>
      </c>
      <c r="AD16" s="393"/>
      <c r="AE16" s="446">
        <f>AF16+(AF16*AG16)</f>
        <v>32616.762327902754</v>
      </c>
      <c r="AF16" s="447">
        <f>'[1]TTM Orignal - With Levers'!J13</f>
        <v>29384.470565678155</v>
      </c>
      <c r="AG16" s="448">
        <v>0.11</v>
      </c>
      <c r="AH16" s="449"/>
      <c r="AI16" s="446">
        <f>AJ16+(AJ16*AK16)</f>
        <v>38570.599975702462</v>
      </c>
      <c r="AJ16" s="447">
        <f>'[1]TTM Orignal - With Levers'!K13</f>
        <v>30611.587282303542</v>
      </c>
      <c r="AK16" s="448">
        <v>0.26</v>
      </c>
      <c r="AL16" s="449"/>
      <c r="AM16" s="446">
        <f>AN16+(AN16*AO16)</f>
        <v>55600.990083462886</v>
      </c>
      <c r="AN16" s="447">
        <f>'[1]TTM Orignal - With Levers'!L13</f>
        <v>44839.508131824907</v>
      </c>
      <c r="AO16" s="448">
        <v>0.24</v>
      </c>
      <c r="AP16" s="449"/>
      <c r="AQ16" s="446">
        <f>AR16+(AR16*AS16)</f>
        <v>49513.164556334341</v>
      </c>
      <c r="AR16" s="447">
        <f>'[1]TTM Orignal - With Levers'!M13</f>
        <v>42318.944065243028</v>
      </c>
      <c r="AS16" s="448">
        <v>0.17</v>
      </c>
      <c r="AT16" s="449"/>
      <c r="AU16" s="446">
        <f>AV16+(AV16*AW16)</f>
        <v>48296.577827750269</v>
      </c>
      <c r="AV16" s="158">
        <f>'[1]TTM Orignal - With Levers'!N13</f>
        <v>38637.262262200216</v>
      </c>
      <c r="AW16" s="248">
        <v>0.25</v>
      </c>
      <c r="AX16" s="186"/>
      <c r="AY16" s="76">
        <v>474800</v>
      </c>
      <c r="AZ16" s="373">
        <f>'[1]TTM Original - Good'!P13</f>
        <v>401300</v>
      </c>
      <c r="BA16" s="340">
        <f>SUM(C16,G16,K16,O16,S16,W16,AA16,AE16,AI16,AM16,AQ16,AU16)</f>
        <v>440106.32246390288</v>
      </c>
      <c r="BB16" s="392">
        <f t="shared" si="4"/>
        <v>440106.32246390288</v>
      </c>
      <c r="BC16" s="317">
        <v>0</v>
      </c>
      <c r="BE16" s="371">
        <f>(BA16+(BA16*BC16))</f>
        <v>440106.32246390288</v>
      </c>
      <c r="BF16" s="370">
        <f t="shared" si="5"/>
        <v>440106.32246390288</v>
      </c>
    </row>
    <row r="17" spans="1:58" x14ac:dyDescent="0.3">
      <c r="A17" s="176">
        <v>5120</v>
      </c>
      <c r="B17" s="145" t="s">
        <v>108</v>
      </c>
      <c r="C17" s="221">
        <f>D17+(D17*E17)</f>
        <v>4921.567703774962</v>
      </c>
      <c r="D17" s="158">
        <f>'[1]TTM Orignal - With Levers'!C14</f>
        <v>4921.567703774962</v>
      </c>
      <c r="E17" s="218">
        <v>0</v>
      </c>
      <c r="F17" s="186"/>
      <c r="G17" s="221">
        <f>H17+(H17*I17)</f>
        <v>4404.7259543189703</v>
      </c>
      <c r="H17" s="158">
        <f>'[1]TTM Orignal - With Levers'!D14</f>
        <v>4404.7259543189703</v>
      </c>
      <c r="I17" s="218">
        <v>0</v>
      </c>
      <c r="J17" s="186"/>
      <c r="K17" s="221">
        <f>L17+(L17*M17)</f>
        <v>3803.0295892806525</v>
      </c>
      <c r="L17" s="158">
        <f>'[1]TTM Orignal - With Levers'!E14</f>
        <v>3803.0295892806525</v>
      </c>
      <c r="M17" s="218">
        <v>0</v>
      </c>
      <c r="N17" s="186"/>
      <c r="O17" s="221">
        <f>P17+(P17*Q17)</f>
        <v>3336.329203577855</v>
      </c>
      <c r="P17" s="158">
        <f>'[1]TTM Orignal - With Levers'!F14</f>
        <v>3336.329203577855</v>
      </c>
      <c r="Q17" s="218">
        <v>0</v>
      </c>
      <c r="R17" s="186"/>
      <c r="S17" s="221">
        <f>T17+(T17*U17)</f>
        <v>2618.9219991090904</v>
      </c>
      <c r="T17" s="158">
        <f>'[1]TTM Orignal - With Levers'!G14</f>
        <v>2618.9219991090904</v>
      </c>
      <c r="U17" s="218">
        <v>0</v>
      </c>
      <c r="V17" s="186"/>
      <c r="W17" s="221">
        <f>X17+(X17*Y17)</f>
        <v>3031.6239930776801</v>
      </c>
      <c r="X17" s="158">
        <f>'[1]TTM Orignal - With Levers'!H14</f>
        <v>3031.6239930776801</v>
      </c>
      <c r="Y17" s="218">
        <v>0</v>
      </c>
      <c r="Z17" s="186"/>
      <c r="AA17" s="221">
        <f>AB17+(AB17*AC17)</f>
        <v>2946.7693774953536</v>
      </c>
      <c r="AB17" s="158">
        <f>'[1]TTM Orignal - With Levers'!I14</f>
        <v>2946.7693774953536</v>
      </c>
      <c r="AC17" s="218">
        <v>0</v>
      </c>
      <c r="AD17" s="186"/>
      <c r="AE17" s="450">
        <f>AF17+(AF17*AG17)</f>
        <v>3793.2327382088747</v>
      </c>
      <c r="AF17" s="443">
        <f>'[1]TTM Orignal - With Levers'!J14</f>
        <v>3417.3267911791663</v>
      </c>
      <c r="AG17" s="444">
        <v>0.11</v>
      </c>
      <c r="AH17" s="451"/>
      <c r="AI17" s="450">
        <f>AJ17+(AJ17*AK17)</f>
        <v>4485.6464013606628</v>
      </c>
      <c r="AJ17" s="443">
        <f>'[1]TTM Orignal - With Levers'!K14</f>
        <v>3560.0368264767162</v>
      </c>
      <c r="AK17" s="444">
        <v>0.26</v>
      </c>
      <c r="AL17" s="451"/>
      <c r="AM17" s="450">
        <f>AN17+(AN17*AO17)</f>
        <v>6466.2302696117931</v>
      </c>
      <c r="AN17" s="443">
        <f>'[1]TTM Orignal - With Levers'!L14</f>
        <v>5214.701830332091</v>
      </c>
      <c r="AO17" s="444">
        <v>0.24</v>
      </c>
      <c r="AP17" s="451"/>
      <c r="AQ17" s="450">
        <f>AR17+(AR17*AS17)</f>
        <v>5758.2342134167056</v>
      </c>
      <c r="AR17" s="443">
        <f>'[1]TTM Orignal - With Levers'!M14</f>
        <v>4921.567703774962</v>
      </c>
      <c r="AS17" s="444">
        <v>0.17</v>
      </c>
      <c r="AT17" s="451"/>
      <c r="AU17" s="450">
        <f>AV17+(AV17*AW17)</f>
        <v>5616.7487845031283</v>
      </c>
      <c r="AV17" s="158">
        <f>'[1]TTM Orignal - With Levers'!N14</f>
        <v>4493.3990276025024</v>
      </c>
      <c r="AW17" s="248">
        <v>0.25</v>
      </c>
      <c r="AX17" s="186"/>
      <c r="AY17" s="76">
        <v>96670</v>
      </c>
      <c r="AZ17" s="292">
        <f>'[1]TTM Original - Good'!P14</f>
        <v>46670</v>
      </c>
      <c r="BA17" s="319">
        <f>SUM(C17,G17,K17,O17,S17,W17,AA17,AE17,AI17,AM17,AQ17,AU17)</f>
        <v>51183.060227735725</v>
      </c>
      <c r="BB17" s="209">
        <f t="shared" si="4"/>
        <v>51183.060227735725</v>
      </c>
      <c r="BC17" s="317">
        <v>0</v>
      </c>
      <c r="BE17" s="208">
        <f>(BA17+(BA17*BC17))</f>
        <v>51183.060227735725</v>
      </c>
      <c r="BF17" s="207">
        <f t="shared" si="5"/>
        <v>51183.060227735725</v>
      </c>
    </row>
    <row r="18" spans="1:58" x14ac:dyDescent="0.3">
      <c r="A18" s="176">
        <v>5130</v>
      </c>
      <c r="B18" s="145" t="s">
        <v>109</v>
      </c>
      <c r="C18" s="221">
        <f>D18+(D18*E18)</f>
        <v>1845.4560706248519</v>
      </c>
      <c r="D18" s="158">
        <f>'[1]TTM Orignal - With Levers'!C15</f>
        <v>1845.4560706248519</v>
      </c>
      <c r="E18" s="218">
        <v>0</v>
      </c>
      <c r="F18" s="186"/>
      <c r="G18" s="221">
        <f>H18+(H18*I18)</f>
        <v>1651.6542575655021</v>
      </c>
      <c r="H18" s="158">
        <f>'[1]TTM Orignal - With Levers'!D15</f>
        <v>1651.6542575655021</v>
      </c>
      <c r="I18" s="218">
        <v>0</v>
      </c>
      <c r="J18" s="186"/>
      <c r="K18" s="221">
        <f>L18+(L18*M18)</f>
        <v>1426.034236391931</v>
      </c>
      <c r="L18" s="158">
        <f>'[1]TTM Orignal - With Levers'!E15</f>
        <v>1426.034236391931</v>
      </c>
      <c r="M18" s="218">
        <v>0</v>
      </c>
      <c r="N18" s="186"/>
      <c r="O18" s="221">
        <f>P18+(P18*Q18)</f>
        <v>1251.0340917637125</v>
      </c>
      <c r="P18" s="158">
        <f>'[1]TTM Orignal - With Levers'!F15</f>
        <v>1251.0340917637125</v>
      </c>
      <c r="Q18" s="218">
        <v>0</v>
      </c>
      <c r="R18" s="186"/>
      <c r="S18" s="221">
        <f>T18+(T18*U18)</f>
        <v>982.02560497983882</v>
      </c>
      <c r="T18" s="158">
        <f>'[1]TTM Orignal - With Levers'!G15</f>
        <v>982.02560497983882</v>
      </c>
      <c r="U18" s="218">
        <v>0</v>
      </c>
      <c r="V18" s="186"/>
      <c r="W18" s="221">
        <f>X18+(X18*Y18)</f>
        <v>1136.7777989899164</v>
      </c>
      <c r="X18" s="158">
        <f>'[1]TTM Orignal - With Levers'!H15</f>
        <v>1136.7777989899164</v>
      </c>
      <c r="Y18" s="218">
        <v>0</v>
      </c>
      <c r="Z18" s="186"/>
      <c r="AA18" s="221">
        <f>AB18+(AB18*AC18)</f>
        <v>1104.9595908756951</v>
      </c>
      <c r="AB18" s="158">
        <f>'[1]TTM Orignal - With Levers'!I15</f>
        <v>1104.9595908756951</v>
      </c>
      <c r="AC18" s="218">
        <v>0</v>
      </c>
      <c r="AD18" s="186"/>
      <c r="AE18" s="450">
        <f>AF18+(AF18*AG18)</f>
        <v>1422.3606796369254</v>
      </c>
      <c r="AF18" s="443">
        <f>'[1]TTM Orignal - With Levers'!J15</f>
        <v>1281.4060176909238</v>
      </c>
      <c r="AG18" s="444">
        <v>0.11</v>
      </c>
      <c r="AH18" s="451"/>
      <c r="AI18" s="450">
        <f>AJ18+(AJ18*AK18)</f>
        <v>1681.9972578489737</v>
      </c>
      <c r="AJ18" s="443">
        <f>'[1]TTM Orignal - With Levers'!K15</f>
        <v>1334.9184586102965</v>
      </c>
      <c r="AK18" s="444">
        <v>0.26</v>
      </c>
      <c r="AL18" s="451"/>
      <c r="AM18" s="450">
        <f>AN18+(AN18*AO18)</f>
        <v>2424.6631608786452</v>
      </c>
      <c r="AN18" s="443">
        <f>'[1]TTM Orignal - With Levers'!L15</f>
        <v>1955.3735168376172</v>
      </c>
      <c r="AO18" s="444">
        <v>0.24</v>
      </c>
      <c r="AP18" s="451"/>
      <c r="AQ18" s="450">
        <f>AR18+(AR18*AS18)</f>
        <v>2159.1836026310766</v>
      </c>
      <c r="AR18" s="443">
        <f>'[1]TTM Orignal - With Levers'!M15</f>
        <v>1845.4560706248519</v>
      </c>
      <c r="AS18" s="444">
        <v>0.17</v>
      </c>
      <c r="AT18" s="451"/>
      <c r="AU18" s="450">
        <f>AV18+(AV18*AW18)</f>
        <v>2106.1303563060796</v>
      </c>
      <c r="AV18" s="158">
        <f>'[1]TTM Orignal - With Levers'!N15</f>
        <v>1684.9042850448639</v>
      </c>
      <c r="AW18" s="248">
        <v>0.25</v>
      </c>
      <c r="AX18" s="186"/>
      <c r="AY18" s="76">
        <v>55500</v>
      </c>
      <c r="AZ18" s="292">
        <f>'[1]TTM Original - Good'!P15</f>
        <v>17500</v>
      </c>
      <c r="BA18" s="319">
        <f>SUM(C18,G18,K18,O18,S18,W18,AA18,AE18,AI18,AM18,AQ18,AU18)</f>
        <v>19192.276708493147</v>
      </c>
      <c r="BB18" s="209">
        <f t="shared" si="4"/>
        <v>19192.276708493147</v>
      </c>
      <c r="BC18" s="317">
        <v>0</v>
      </c>
      <c r="BE18" s="208">
        <f>(BA18+(BA18*BC18))</f>
        <v>19192.276708493147</v>
      </c>
      <c r="BF18" s="207">
        <f t="shared" si="5"/>
        <v>19192.276708493147</v>
      </c>
    </row>
    <row r="19" spans="1:58" x14ac:dyDescent="0.3">
      <c r="A19" s="176">
        <v>5140</v>
      </c>
      <c r="B19" s="145" t="s">
        <v>110</v>
      </c>
      <c r="C19" s="221">
        <f>D19+(D19*E19)</f>
        <v>7292.4555912856122</v>
      </c>
      <c r="D19" s="158">
        <f>'[1]TTM Orignal - With Levers'!C16</f>
        <v>7292.4555912856122</v>
      </c>
      <c r="E19" s="218">
        <v>0</v>
      </c>
      <c r="F19" s="186"/>
      <c r="G19" s="221">
        <f>H19+(H19*I19)</f>
        <v>7095.5629194734875</v>
      </c>
      <c r="H19" s="158">
        <f>'[1]TTM Orignal - With Levers'!D16</f>
        <v>7095.5629194734875</v>
      </c>
      <c r="I19" s="218">
        <v>0</v>
      </c>
      <c r="J19" s="186"/>
      <c r="K19" s="221">
        <f>L19+(L19*M19)</f>
        <v>5667.8520478116097</v>
      </c>
      <c r="L19" s="158">
        <f>'[1]TTM Orignal - With Levers'!E16</f>
        <v>5667.8520478116097</v>
      </c>
      <c r="M19" s="218">
        <v>0</v>
      </c>
      <c r="N19" s="186"/>
      <c r="O19" s="221">
        <f>P19+(P19*Q19)</f>
        <v>5346.8519486379737</v>
      </c>
      <c r="P19" s="158">
        <f>'[1]TTM Orignal - With Levers'!F16</f>
        <v>5346.8519486379737</v>
      </c>
      <c r="Q19" s="218">
        <v>0</v>
      </c>
      <c r="R19" s="186"/>
      <c r="S19" s="221">
        <f>T19+(T19*U19)</f>
        <v>4040.3339176313366</v>
      </c>
      <c r="T19" s="158">
        <f>'[1]TTM Orignal - With Levers'!G16</f>
        <v>4040.3339176313366</v>
      </c>
      <c r="U19" s="218">
        <v>0</v>
      </c>
      <c r="V19" s="186"/>
      <c r="W19" s="221">
        <f>X19+(X19*Y19)</f>
        <v>4677.0286587013707</v>
      </c>
      <c r="X19" s="158">
        <f>'[1]TTM Orignal - With Levers'!H16</f>
        <v>4677.0286587013707</v>
      </c>
      <c r="Y19" s="218">
        <v>0</v>
      </c>
      <c r="Z19" s="186"/>
      <c r="AA19" s="221">
        <f>AB19+(AB19*AC19)</f>
        <v>4546.119459602859</v>
      </c>
      <c r="AB19" s="158">
        <f>'[1]TTM Orignal - With Levers'!I16</f>
        <v>4546.119459602859</v>
      </c>
      <c r="AC19" s="218">
        <v>0</v>
      </c>
      <c r="AD19" s="186"/>
      <c r="AE19" s="221">
        <f>AF19+(AF19*AG19)</f>
        <v>5771.6784121309192</v>
      </c>
      <c r="AF19" s="158">
        <f>'[1]TTM Orignal - With Levers'!J16</f>
        <v>5771.6784121309192</v>
      </c>
      <c r="AG19" s="218">
        <v>0</v>
      </c>
      <c r="AH19" s="186"/>
      <c r="AI19" s="221">
        <f>AJ19+(AJ19*AK19)</f>
        <v>4992.3726573327749</v>
      </c>
      <c r="AJ19" s="158">
        <f>'[1]TTM Orignal - With Levers'!K16</f>
        <v>4992.3726573327749</v>
      </c>
      <c r="AK19" s="218">
        <v>0</v>
      </c>
      <c r="AL19" s="186"/>
      <c r="AM19" s="221">
        <f>AN19+(AN19*AO19)</f>
        <v>7044.8275544029375</v>
      </c>
      <c r="AN19" s="158">
        <f>'[1]TTM Orignal - With Levers'!L16</f>
        <v>7044.8275544029375</v>
      </c>
      <c r="AO19" s="218">
        <v>0</v>
      </c>
      <c r="AP19" s="186"/>
      <c r="AQ19" s="221">
        <f>AR19+(AR19*AS19)</f>
        <v>8592.4555912856122</v>
      </c>
      <c r="AR19" s="158">
        <f>'[1]TTM Orignal - With Levers'!M16</f>
        <v>8592.4555912856122</v>
      </c>
      <c r="AS19" s="218">
        <v>0</v>
      </c>
      <c r="AT19" s="186"/>
      <c r="AU19" s="221">
        <f>AV19+(AV19*AW19)</f>
        <v>6932.177629898868</v>
      </c>
      <c r="AV19" s="158">
        <f>'[1]TTM Orignal - With Levers'!N16</f>
        <v>6932.177629898868</v>
      </c>
      <c r="AW19" s="218">
        <v>0</v>
      </c>
      <c r="AX19" s="186"/>
      <c r="AY19" s="76">
        <v>60000</v>
      </c>
      <c r="AZ19" s="292">
        <f>'[1]TTM Original - Good'!P16</f>
        <v>71999.71638819536</v>
      </c>
      <c r="BA19" s="319">
        <f>SUM(C19,G19,K19,O19,S19,W19,AA19,AE19,AI19,AM19,AQ19,AU19)</f>
        <v>71999.71638819536</v>
      </c>
      <c r="BB19" s="209">
        <f t="shared" si="4"/>
        <v>71999.71638819536</v>
      </c>
      <c r="BC19" s="317">
        <v>0</v>
      </c>
      <c r="BE19" s="208">
        <f>(BA19+(BA19*BC19))</f>
        <v>71999.71638819536</v>
      </c>
      <c r="BF19" s="207">
        <f t="shared" si="5"/>
        <v>71999.71638819536</v>
      </c>
    </row>
    <row r="20" spans="1:58" x14ac:dyDescent="0.3">
      <c r="A20" s="176">
        <v>5150</v>
      </c>
      <c r="B20" s="145" t="s">
        <v>111</v>
      </c>
      <c r="C20" s="221">
        <f>D20+(D20*E20)</f>
        <v>1054.5463260713439</v>
      </c>
      <c r="D20" s="158">
        <f>'[1]TTM Orignal - With Levers'!C17</f>
        <v>1054.5463260713439</v>
      </c>
      <c r="E20" s="218">
        <v>0</v>
      </c>
      <c r="F20" s="186"/>
      <c r="G20" s="221">
        <f>H20+(H20*I20)</f>
        <v>943.80243289457269</v>
      </c>
      <c r="H20" s="158">
        <f>'[1]TTM Orignal - With Levers'!D17</f>
        <v>943.80243289457269</v>
      </c>
      <c r="I20" s="218">
        <v>0</v>
      </c>
      <c r="J20" s="186"/>
      <c r="K20" s="221">
        <f>L20+(L20*M20)</f>
        <v>814.87670650967482</v>
      </c>
      <c r="L20" s="158">
        <f>'[1]TTM Orignal - With Levers'!E17</f>
        <v>814.87670650967482</v>
      </c>
      <c r="M20" s="218">
        <v>0</v>
      </c>
      <c r="N20" s="186"/>
      <c r="O20" s="221">
        <f>P20+(P20*Q20)</f>
        <v>714.87662386497857</v>
      </c>
      <c r="P20" s="158">
        <f>'[1]TTM Orignal - With Levers'!F17</f>
        <v>714.87662386497857</v>
      </c>
      <c r="Q20" s="218">
        <v>0</v>
      </c>
      <c r="R20" s="186"/>
      <c r="S20" s="221">
        <f>T20+(T20*U20)</f>
        <v>561.15748855990796</v>
      </c>
      <c r="T20" s="158">
        <f>'[1]TTM Orignal - With Levers'!G17</f>
        <v>561.15748855990796</v>
      </c>
      <c r="U20" s="218">
        <v>0</v>
      </c>
      <c r="V20" s="186"/>
      <c r="W20" s="221">
        <f>X20+(X20*Y20)</f>
        <v>649.58731370852365</v>
      </c>
      <c r="X20" s="158">
        <f>'[1]TTM Orignal - With Levers'!H17</f>
        <v>649.58731370852365</v>
      </c>
      <c r="Y20" s="218">
        <v>0</v>
      </c>
      <c r="Z20" s="186"/>
      <c r="AA20" s="221">
        <f>AB20+(AB20*AC20)</f>
        <v>631.40548050039718</v>
      </c>
      <c r="AB20" s="158">
        <f>'[1]TTM Orignal - With Levers'!I17</f>
        <v>631.40548050039718</v>
      </c>
      <c r="AC20" s="218">
        <v>0</v>
      </c>
      <c r="AD20" s="186"/>
      <c r="AE20" s="450">
        <f>AF20+(AF20*AG20)</f>
        <v>856.71145182764621</v>
      </c>
      <c r="AF20" s="443">
        <f>'[1]TTM Orignal - With Levers'!J17</f>
        <v>732.23201010909929</v>
      </c>
      <c r="AG20" s="444">
        <v>0.17</v>
      </c>
      <c r="AH20" s="451"/>
      <c r="AI20" s="450">
        <f>AJ20+(AJ20*AK20)</f>
        <v>2540.1591240984499</v>
      </c>
      <c r="AJ20" s="443">
        <f>'[1]TTM Orignal - With Levers'!K17</f>
        <v>762.81054777731231</v>
      </c>
      <c r="AK20" s="444">
        <v>2.33</v>
      </c>
      <c r="AL20" s="451"/>
      <c r="AM20" s="450">
        <f>AN20+(AN20*AO20)</f>
        <v>3709.6229005147939</v>
      </c>
      <c r="AN20" s="443">
        <f>'[1]TTM Orignal - With Levers'!L17</f>
        <v>1117.3562953357814</v>
      </c>
      <c r="AO20" s="444">
        <v>2.3199999999999998</v>
      </c>
      <c r="AP20" s="451"/>
      <c r="AQ20" s="450">
        <f>AR20+(AR20*AS20)</f>
        <v>3480.0028760354344</v>
      </c>
      <c r="AR20" s="443">
        <f>'[1]TTM Orignal - With Levers'!M17</f>
        <v>1054.5463260713439</v>
      </c>
      <c r="AS20" s="444">
        <v>2.2999999999999998</v>
      </c>
      <c r="AT20" s="451"/>
      <c r="AU20" s="450">
        <f>AV20+(AV20*AW20)</f>
        <v>3167.6200558843439</v>
      </c>
      <c r="AV20" s="158">
        <f>'[1]TTM Orignal - With Levers'!N17</f>
        <v>962.80244859706499</v>
      </c>
      <c r="AW20" s="248">
        <v>2.29</v>
      </c>
      <c r="AX20" s="186"/>
      <c r="AY20" s="76"/>
      <c r="AZ20" s="292">
        <f>'[1]TTM Original - Good'!P17</f>
        <v>10000.000000000002</v>
      </c>
      <c r="BA20" s="319">
        <f>SUM(C20,G20,K20,O20,S20,W20,AA20,AE20,AI20,AM20,AQ20,AU20)</f>
        <v>19124.368780470068</v>
      </c>
      <c r="BB20" s="209">
        <f t="shared" si="4"/>
        <v>19124.368780470068</v>
      </c>
      <c r="BC20" s="317">
        <v>0</v>
      </c>
      <c r="BE20" s="208">
        <f>(BA20+(BA20*BC20))</f>
        <v>19124.368780470068</v>
      </c>
      <c r="BF20" s="207">
        <f t="shared" si="5"/>
        <v>19124.368780470068</v>
      </c>
    </row>
    <row r="21" spans="1:58" x14ac:dyDescent="0.3">
      <c r="A21" s="178"/>
      <c r="B21" s="131" t="s">
        <v>112</v>
      </c>
      <c r="C21" s="69">
        <f>SUM(C16:C20)</f>
        <v>57432.969756999795</v>
      </c>
      <c r="D21" s="69"/>
      <c r="E21" s="69"/>
      <c r="F21" s="69"/>
      <c r="G21" s="69">
        <f>SUM(G16:G20)</f>
        <v>51970.537196311736</v>
      </c>
      <c r="H21" s="69"/>
      <c r="I21" s="69"/>
      <c r="J21" s="69"/>
      <c r="K21" s="69">
        <f>SUM(K16:K20)</f>
        <v>44412.794812227126</v>
      </c>
      <c r="L21" s="69"/>
      <c r="M21" s="69"/>
      <c r="N21" s="69"/>
      <c r="O21" s="69">
        <f>SUM(O16:O20)</f>
        <v>39337.090783546104</v>
      </c>
      <c r="P21" s="69"/>
      <c r="Q21" s="69"/>
      <c r="R21" s="69"/>
      <c r="S21" s="69">
        <f>SUM(S16:S20)</f>
        <v>30721.689026189273</v>
      </c>
      <c r="T21" s="69"/>
      <c r="U21" s="69"/>
      <c r="V21" s="69"/>
      <c r="W21" s="69">
        <f>SUM(W16:W20)</f>
        <v>35562.95666360054</v>
      </c>
      <c r="X21" s="69"/>
      <c r="Y21" s="69"/>
      <c r="Z21" s="69"/>
      <c r="AA21" s="69">
        <f>SUM(AA16:AA20)</f>
        <v>34567.555840955247</v>
      </c>
      <c r="AB21" s="69"/>
      <c r="AC21" s="69"/>
      <c r="AD21" s="69"/>
      <c r="AE21" s="69">
        <f>SUM(AE16:AE20)</f>
        <v>44460.745609707119</v>
      </c>
      <c r="AF21" s="69"/>
      <c r="AG21" s="69"/>
      <c r="AH21" s="69"/>
      <c r="AI21" s="69">
        <f>SUM(AI16:AI20)</f>
        <v>52270.77541634332</v>
      </c>
      <c r="AJ21" s="69"/>
      <c r="AK21" s="69"/>
      <c r="AL21" s="69"/>
      <c r="AM21" s="69">
        <f>SUM(AM16:AM20)</f>
        <v>75246.333968871055</v>
      </c>
      <c r="AN21" s="69"/>
      <c r="AO21" s="69"/>
      <c r="AP21" s="69"/>
      <c r="AQ21" s="69">
        <f>SUM(AQ16:AQ20)</f>
        <v>69503.040839703172</v>
      </c>
      <c r="AR21" s="69"/>
      <c r="AS21" s="69"/>
      <c r="AT21" s="69"/>
      <c r="AU21" s="69">
        <f>SUM(AU16:AU20)</f>
        <v>66119.254654342687</v>
      </c>
      <c r="AV21" s="69"/>
      <c r="AW21" s="69"/>
      <c r="AX21" s="69"/>
      <c r="AY21" s="258">
        <f>SUM(AY16:AY20)</f>
        <v>686970</v>
      </c>
      <c r="AZ21" s="295">
        <f>SUM(AZ16:AZ20)</f>
        <v>547469.7163881954</v>
      </c>
      <c r="BA21" s="321">
        <f>SUM(BA16:BA20)</f>
        <v>601605.74456879718</v>
      </c>
      <c r="BB21" s="69">
        <f>SUM(BB16:BB20)</f>
        <v>601605.74456879718</v>
      </c>
      <c r="BE21" s="69">
        <f>SUM(BE16:BE20)</f>
        <v>601605.74456879718</v>
      </c>
      <c r="BF21" s="69">
        <f>SUM(BF16:BF20)</f>
        <v>601605.74456879718</v>
      </c>
    </row>
    <row r="23" spans="1:58" x14ac:dyDescent="0.3">
      <c r="A23" s="177"/>
      <c r="B23" s="82" t="s">
        <v>69</v>
      </c>
      <c r="C23" s="83">
        <f>SUM(C5-C21)</f>
        <v>25507.030243000205</v>
      </c>
      <c r="D23" s="83"/>
      <c r="E23" s="83"/>
      <c r="F23" s="83"/>
      <c r="G23" s="83">
        <f>SUM(G5-G21)</f>
        <v>22259.462803688264</v>
      </c>
      <c r="H23" s="83"/>
      <c r="I23" s="83"/>
      <c r="J23" s="83"/>
      <c r="K23" s="83">
        <f>SUM(K5-K21)</f>
        <v>19677.205187772874</v>
      </c>
      <c r="L23" s="83"/>
      <c r="M23" s="83"/>
      <c r="N23" s="83"/>
      <c r="O23" s="83">
        <f>SUM(O5-O21)</f>
        <v>20261.409216453903</v>
      </c>
      <c r="P23" s="83"/>
      <c r="Q23" s="83"/>
      <c r="R23" s="83"/>
      <c r="S23" s="83">
        <f>SUM(S5-S21)</f>
        <v>16061.410973810725</v>
      </c>
      <c r="T23" s="83"/>
      <c r="U23" s="83"/>
      <c r="V23" s="83"/>
      <c r="W23" s="83">
        <f>SUM(W5-W21)</f>
        <v>18592.443336399461</v>
      </c>
      <c r="X23" s="83"/>
      <c r="Y23" s="83"/>
      <c r="Z23" s="83"/>
      <c r="AA23" s="83">
        <f>SUM(AA5-AA21)</f>
        <v>18072.044159044752</v>
      </c>
      <c r="AB23" s="83"/>
      <c r="AC23" s="83"/>
      <c r="AD23" s="83"/>
      <c r="AE23" s="83">
        <f>SUM(AE5-AE21)</f>
        <v>23299.648390292881</v>
      </c>
      <c r="AF23" s="83"/>
      <c r="AG23" s="83"/>
      <c r="AH23" s="83"/>
      <c r="AI23" s="83">
        <f>SUM(AI5-AI21)</f>
        <v>27858.54658365668</v>
      </c>
      <c r="AJ23" s="83"/>
      <c r="AK23" s="83"/>
      <c r="AL23" s="83"/>
      <c r="AM23" s="83">
        <f>SUM(AM5-AM21)</f>
        <v>40263.138031128939</v>
      </c>
      <c r="AN23" s="83"/>
      <c r="AO23" s="83"/>
      <c r="AP23" s="83"/>
      <c r="AQ23" s="83">
        <f>SUM(AQ5-AQ21)</f>
        <v>33359.147160296838</v>
      </c>
      <c r="AR23" s="83"/>
      <c r="AS23" s="83"/>
      <c r="AT23" s="83"/>
      <c r="AU23" s="83">
        <f>SUM(AU5-AU21)</f>
        <v>31375.845970657319</v>
      </c>
      <c r="AV23" s="83"/>
      <c r="AW23" s="83"/>
      <c r="AX23" s="83"/>
      <c r="AY23" s="259">
        <f>SUM(AY5-AY21)</f>
        <v>-686970</v>
      </c>
      <c r="AZ23" s="296">
        <f>SUM(AZ5-AZ21)</f>
        <v>239029.63361180457</v>
      </c>
      <c r="BA23" s="314">
        <f>SUM(BA5-BA21)</f>
        <v>296587.33205620269</v>
      </c>
      <c r="BB23" s="83">
        <f>SUM(BB5-BB21)</f>
        <v>296587.33205620269</v>
      </c>
      <c r="BC23" s="150"/>
      <c r="BE23" s="83">
        <f>SUM(BE5-BE21)</f>
        <v>296587.33205620269</v>
      </c>
      <c r="BF23" s="83">
        <f>SUM(BF5-BF21)</f>
        <v>296587.33205620269</v>
      </c>
    </row>
    <row r="24" spans="1:58" x14ac:dyDescent="0.3">
      <c r="A24" s="175"/>
      <c r="B24" s="391" t="s">
        <v>70</v>
      </c>
      <c r="C24" s="390">
        <f>(C5-C21)/C5</f>
        <v>0.30753593251748501</v>
      </c>
      <c r="D24" s="390"/>
      <c r="E24" s="390"/>
      <c r="F24" s="390"/>
      <c r="G24" s="390">
        <f>(G5-G21)/G5</f>
        <v>0.29987151830376213</v>
      </c>
      <c r="H24" s="390"/>
      <c r="I24" s="390"/>
      <c r="J24" s="390"/>
      <c r="K24" s="390">
        <f>(K5-K21)/K5</f>
        <v>0.30702457774649516</v>
      </c>
      <c r="L24" s="390"/>
      <c r="M24" s="390"/>
      <c r="N24" s="390"/>
      <c r="O24" s="390">
        <f>(O5-O21)/O5</f>
        <v>0.33996508664570252</v>
      </c>
      <c r="P24" s="390"/>
      <c r="Q24" s="390"/>
      <c r="R24" s="390"/>
      <c r="S24" s="390">
        <f>(S5-S21)/S5</f>
        <v>0.3433165175845706</v>
      </c>
      <c r="T24" s="390"/>
      <c r="U24" s="390"/>
      <c r="V24" s="390"/>
      <c r="W24" s="390">
        <f>(W5-W21)/W5</f>
        <v>0.34331651758457071</v>
      </c>
      <c r="X24" s="390"/>
      <c r="Y24" s="390"/>
      <c r="Z24" s="390"/>
      <c r="AA24" s="390">
        <f>(AA5-AA21)/AA5</f>
        <v>0.34331651758457038</v>
      </c>
      <c r="AB24" s="390"/>
      <c r="AC24" s="390"/>
      <c r="AD24" s="390"/>
      <c r="AE24" s="390">
        <f>(AE5-AE21)/AE5</f>
        <v>0.34385349634024975</v>
      </c>
      <c r="AF24" s="390"/>
      <c r="AG24" s="390"/>
      <c r="AH24" s="390"/>
      <c r="AI24" s="390">
        <f>(AI5-AI21)/AI5</f>
        <v>0.34766981534745395</v>
      </c>
      <c r="AJ24" s="390"/>
      <c r="AK24" s="390"/>
      <c r="AL24" s="390"/>
      <c r="AM24" s="390">
        <f>(AM5-AM21)/AM5</f>
        <v>0.34857001191321296</v>
      </c>
      <c r="AN24" s="390"/>
      <c r="AO24" s="390"/>
      <c r="AP24" s="390"/>
      <c r="AQ24" s="390">
        <f>(AQ5-AQ21)/AQ5</f>
        <v>0.32430913447317333</v>
      </c>
      <c r="AR24" s="390"/>
      <c r="AS24" s="390"/>
      <c r="AT24" s="390"/>
      <c r="AU24" s="390">
        <f>(AU5-AU21)/AU5</f>
        <v>0.32181971985792096</v>
      </c>
      <c r="AV24" s="390"/>
      <c r="AW24" s="390"/>
      <c r="AX24" s="390"/>
      <c r="AY24" s="389" t="e">
        <f>(AY5-AY21)/AY5</f>
        <v>#DIV/0!</v>
      </c>
      <c r="AZ24" s="388">
        <f>(AZ5-AZ21)/AZ5</f>
        <v>0.30391586923982145</v>
      </c>
      <c r="BA24" s="387">
        <f>(BA5-BA21)/BA5</f>
        <v>0.33020442906400782</v>
      </c>
      <c r="BB24" s="85">
        <f>(BB5-BB21)/BB5</f>
        <v>0.33020442906400782</v>
      </c>
      <c r="BC24" s="148"/>
      <c r="BE24" s="85">
        <f>(BE5-BE21)/BE5</f>
        <v>0.33020442906400782</v>
      </c>
      <c r="BF24" s="85">
        <f>(BF5-BF21)/BF5</f>
        <v>0.33020442906400782</v>
      </c>
    </row>
    <row r="25" spans="1:58" ht="15" hidden="1" thickBot="1" x14ac:dyDescent="0.35">
      <c r="A25" s="175"/>
      <c r="B25" s="331" t="s">
        <v>149</v>
      </c>
      <c r="C25" s="383">
        <f t="shared" ref="C25:AH25" si="6">C95/((C5/C15)-(C21/C15))</f>
        <v>6.2105853720624138</v>
      </c>
      <c r="D25" s="383">
        <f t="shared" si="6"/>
        <v>0</v>
      </c>
      <c r="E25" s="383" t="e">
        <f t="shared" si="6"/>
        <v>#DIV/0!</v>
      </c>
      <c r="F25" s="383" t="e">
        <f t="shared" si="6"/>
        <v>#DIV/0!</v>
      </c>
      <c r="G25" s="383">
        <f t="shared" si="6"/>
        <v>5.1261353637482996</v>
      </c>
      <c r="H25" s="383">
        <f t="shared" si="6"/>
        <v>0</v>
      </c>
      <c r="I25" s="383" t="e">
        <f t="shared" si="6"/>
        <v>#DIV/0!</v>
      </c>
      <c r="J25" s="383" t="e">
        <f t="shared" si="6"/>
        <v>#DIV/0!</v>
      </c>
      <c r="K25" s="383">
        <f t="shared" si="6"/>
        <v>5.4735712449617315</v>
      </c>
      <c r="L25" s="383">
        <f t="shared" si="6"/>
        <v>0</v>
      </c>
      <c r="M25" s="383" t="e">
        <f t="shared" si="6"/>
        <v>#DIV/0!</v>
      </c>
      <c r="N25" s="383" t="e">
        <f t="shared" si="6"/>
        <v>#DIV/0!</v>
      </c>
      <c r="O25" s="383">
        <f t="shared" si="6"/>
        <v>4.612220831036562</v>
      </c>
      <c r="P25" s="383">
        <f t="shared" si="6"/>
        <v>0</v>
      </c>
      <c r="Q25" s="383" t="e">
        <f t="shared" si="6"/>
        <v>#DIV/0!</v>
      </c>
      <c r="R25" s="383">
        <f t="shared" si="6"/>
        <v>0</v>
      </c>
      <c r="S25" s="383">
        <f t="shared" si="6"/>
        <v>4.0791009064716901</v>
      </c>
      <c r="T25" s="383">
        <f t="shared" si="6"/>
        <v>0</v>
      </c>
      <c r="U25" s="383" t="e">
        <f t="shared" si="6"/>
        <v>#DIV/0!</v>
      </c>
      <c r="V25" s="383">
        <f t="shared" si="6"/>
        <v>0</v>
      </c>
      <c r="W25" s="383">
        <f t="shared" si="6"/>
        <v>4.3570115470140758</v>
      </c>
      <c r="X25" s="383">
        <f t="shared" si="6"/>
        <v>0</v>
      </c>
      <c r="Y25" s="383" t="e">
        <f t="shared" si="6"/>
        <v>#DIV/0!</v>
      </c>
      <c r="Z25" s="383">
        <f t="shared" si="6"/>
        <v>0</v>
      </c>
      <c r="AA25" s="383">
        <f t="shared" si="6"/>
        <v>3.97589173892995</v>
      </c>
      <c r="AB25" s="383">
        <f t="shared" si="6"/>
        <v>0</v>
      </c>
      <c r="AC25" s="383" t="e">
        <f t="shared" si="6"/>
        <v>#DIV/0!</v>
      </c>
      <c r="AD25" s="383">
        <f t="shared" si="6"/>
        <v>0</v>
      </c>
      <c r="AE25" s="383">
        <f t="shared" si="6"/>
        <v>5.4978473790735745</v>
      </c>
      <c r="AF25" s="383">
        <f t="shared" si="6"/>
        <v>0</v>
      </c>
      <c r="AG25" s="383">
        <f t="shared" si="6"/>
        <v>0</v>
      </c>
      <c r="AH25" s="383">
        <f t="shared" si="6"/>
        <v>0</v>
      </c>
      <c r="AI25" s="383">
        <f t="shared" ref="AI25:BB25" si="7">AI95/((AI5/AI15)-(AI21/AI15))</f>
        <v>5.0715621641934208</v>
      </c>
      <c r="AJ25" s="383">
        <f t="shared" si="7"/>
        <v>0</v>
      </c>
      <c r="AK25" s="383">
        <f t="shared" si="7"/>
        <v>0</v>
      </c>
      <c r="AL25" s="383">
        <f t="shared" si="7"/>
        <v>0</v>
      </c>
      <c r="AM25" s="383">
        <f t="shared" si="7"/>
        <v>6.2359619344054513</v>
      </c>
      <c r="AN25" s="383">
        <f t="shared" si="7"/>
        <v>0</v>
      </c>
      <c r="AO25" s="383">
        <f t="shared" si="7"/>
        <v>0</v>
      </c>
      <c r="AP25" s="383">
        <f t="shared" si="7"/>
        <v>0</v>
      </c>
      <c r="AQ25" s="383">
        <f t="shared" si="7"/>
        <v>6.3028290705526082</v>
      </c>
      <c r="AR25" s="383">
        <f t="shared" si="7"/>
        <v>0</v>
      </c>
      <c r="AS25" s="383">
        <f t="shared" si="7"/>
        <v>0</v>
      </c>
      <c r="AT25" s="383">
        <f t="shared" si="7"/>
        <v>0</v>
      </c>
      <c r="AU25" s="383">
        <f t="shared" si="7"/>
        <v>4.9533359122302256</v>
      </c>
      <c r="AV25" s="383" t="e">
        <f t="shared" si="7"/>
        <v>#DIV/0!</v>
      </c>
      <c r="AW25" s="383" t="e">
        <f t="shared" si="7"/>
        <v>#DIV/0!</v>
      </c>
      <c r="AX25" s="383" t="e">
        <f t="shared" si="7"/>
        <v>#DIV/0!</v>
      </c>
      <c r="AY25" s="386" t="e">
        <f t="shared" si="7"/>
        <v>#DIV/0!</v>
      </c>
      <c r="AZ25" s="385">
        <f t="shared" si="7"/>
        <v>67.409093585466394</v>
      </c>
      <c r="BA25" s="384">
        <f t="shared" si="7"/>
        <v>62.365420907079979</v>
      </c>
      <c r="BB25" s="383">
        <f t="shared" si="7"/>
        <v>62.365420907079979</v>
      </c>
      <c r="BC25" s="148"/>
      <c r="BE25" s="383">
        <f>BE95/((BE5/BE15)-(BE21/BE15))</f>
        <v>62.365420907079979</v>
      </c>
      <c r="BF25" s="383">
        <f>BF95/((BF5/BF15)-(BF21/BF15))</f>
        <v>62.365420907079979</v>
      </c>
    </row>
    <row r="26" spans="1:58" x14ac:dyDescent="0.3">
      <c r="A26" s="175"/>
      <c r="B26" s="47"/>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C26" s="148"/>
    </row>
    <row r="27" spans="1:58" ht="15" thickBot="1" x14ac:dyDescent="0.35">
      <c r="A27" s="175"/>
      <c r="B27" s="167" t="s">
        <v>113</v>
      </c>
      <c r="C27" s="9"/>
      <c r="D27" s="9"/>
      <c r="E27" s="9"/>
      <c r="F27" s="9"/>
      <c r="G27" s="5"/>
      <c r="H27" s="9"/>
      <c r="I27" s="9"/>
      <c r="J27" s="9"/>
      <c r="K27" s="5"/>
      <c r="L27" s="5"/>
      <c r="M27" s="9"/>
      <c r="N27" s="9"/>
      <c r="O27" s="5"/>
      <c r="P27" s="5"/>
      <c r="Q27" s="9"/>
      <c r="R27" s="9"/>
      <c r="S27" s="5"/>
      <c r="T27" s="5"/>
      <c r="U27" s="9"/>
      <c r="V27" s="9"/>
      <c r="W27" s="6"/>
      <c r="X27" s="6"/>
      <c r="Y27" s="9"/>
      <c r="Z27" s="9"/>
      <c r="AA27" s="6"/>
      <c r="AB27" s="6"/>
      <c r="AC27" s="9"/>
      <c r="AD27" s="9"/>
      <c r="AE27" s="6"/>
      <c r="AF27" s="6"/>
      <c r="AG27" s="9"/>
      <c r="AH27" s="9"/>
      <c r="AI27" s="6"/>
      <c r="AJ27" s="6"/>
      <c r="AK27" s="9"/>
      <c r="AL27" s="9"/>
      <c r="AM27" s="6"/>
      <c r="AN27" s="6"/>
      <c r="AO27" s="9"/>
      <c r="AP27" s="9"/>
      <c r="AQ27" s="6"/>
      <c r="AR27" s="6"/>
      <c r="AS27" s="9"/>
      <c r="AT27" s="9"/>
      <c r="AU27" s="6"/>
      <c r="AV27" s="6"/>
      <c r="AW27" s="9"/>
      <c r="AX27" s="9"/>
      <c r="AY27" s="7"/>
      <c r="AZ27" s="8"/>
      <c r="BA27" s="8"/>
      <c r="BC27" s="195"/>
    </row>
    <row r="28" spans="1:58" x14ac:dyDescent="0.3">
      <c r="A28" s="175"/>
      <c r="B28" s="352" t="s">
        <v>150</v>
      </c>
      <c r="C28" s="353">
        <f t="shared" ref="C28:N28" si="8">C6/135</f>
        <v>113.42222222222222</v>
      </c>
      <c r="D28" s="353">
        <f t="shared" si="8"/>
        <v>113.42222222222222</v>
      </c>
      <c r="E28" s="353">
        <f t="shared" si="8"/>
        <v>0</v>
      </c>
      <c r="F28" s="353">
        <f t="shared" si="8"/>
        <v>0</v>
      </c>
      <c r="G28" s="353">
        <f t="shared" si="8"/>
        <v>101.51111111111111</v>
      </c>
      <c r="H28" s="353">
        <f t="shared" si="8"/>
        <v>101.51111111111111</v>
      </c>
      <c r="I28" s="353">
        <f t="shared" si="8"/>
        <v>0</v>
      </c>
      <c r="J28" s="353">
        <f t="shared" si="8"/>
        <v>0</v>
      </c>
      <c r="K28" s="353">
        <f t="shared" si="8"/>
        <v>87.644444444444446</v>
      </c>
      <c r="L28" s="353">
        <f t="shared" si="8"/>
        <v>87.644444444444446</v>
      </c>
      <c r="M28" s="353">
        <f t="shared" si="8"/>
        <v>0</v>
      </c>
      <c r="N28" s="353">
        <f t="shared" si="8"/>
        <v>0</v>
      </c>
      <c r="O28" s="353">
        <v>72</v>
      </c>
      <c r="P28" s="353">
        <f>P6/135</f>
        <v>76.888888888888886</v>
      </c>
      <c r="Q28" s="353">
        <f>Q6/135</f>
        <v>0</v>
      </c>
      <c r="R28" s="353">
        <f>R6/135</f>
        <v>2.2222222222222221E-4</v>
      </c>
      <c r="S28" s="353">
        <v>58</v>
      </c>
      <c r="T28" s="353">
        <f>T6/135</f>
        <v>60.355555555555554</v>
      </c>
      <c r="U28" s="353">
        <f>U6/135</f>
        <v>0</v>
      </c>
      <c r="V28" s="353">
        <f>V6/135</f>
        <v>2.2222222222222221E-4</v>
      </c>
      <c r="W28" s="353">
        <v>70</v>
      </c>
      <c r="X28" s="353">
        <f>X6/135</f>
        <v>69.86666666666666</v>
      </c>
      <c r="Y28" s="353">
        <f>Y6/135</f>
        <v>0</v>
      </c>
      <c r="Z28" s="353">
        <f>Z6/135</f>
        <v>2.2222222222222221E-4</v>
      </c>
      <c r="AA28" s="353">
        <v>65</v>
      </c>
      <c r="AB28" s="353">
        <f>AB6/135</f>
        <v>67.911111111111111</v>
      </c>
      <c r="AC28" s="353">
        <f>AC6/135</f>
        <v>0</v>
      </c>
      <c r="AD28" s="353">
        <f>AD6/135</f>
        <v>2.2222222222222221E-4</v>
      </c>
      <c r="AE28" s="353">
        <v>70</v>
      </c>
      <c r="AF28" s="353">
        <f>AF6/135</f>
        <v>78.75555555555556</v>
      </c>
      <c r="AG28" s="353">
        <f>AG6/135</f>
        <v>1.4814814814814815E-4</v>
      </c>
      <c r="AH28" s="353">
        <f>AH6/135</f>
        <v>2.2222222222222221E-4</v>
      </c>
      <c r="AI28" s="353">
        <v>84</v>
      </c>
      <c r="AJ28" s="353">
        <f>AJ6/135</f>
        <v>82.044444444444451</v>
      </c>
      <c r="AK28" s="353">
        <f>AK6/135</f>
        <v>2.2222222222222221E-4</v>
      </c>
      <c r="AL28" s="353">
        <f>AL6/135</f>
        <v>2.2222222222222221E-4</v>
      </c>
      <c r="AM28" s="353">
        <v>110</v>
      </c>
      <c r="AN28" s="353">
        <f>AN6/135</f>
        <v>120.17777777777778</v>
      </c>
      <c r="AO28" s="353">
        <f>AO6/135</f>
        <v>2.2222222222222221E-4</v>
      </c>
      <c r="AP28" s="353">
        <f>AP6/135</f>
        <v>2.2222222222222221E-4</v>
      </c>
      <c r="AQ28" s="353">
        <v>105</v>
      </c>
      <c r="AR28" s="353">
        <f>AR6/135</f>
        <v>113.42222222222222</v>
      </c>
      <c r="AS28" s="353">
        <f>AS6/135</f>
        <v>2.9629629629629629E-4</v>
      </c>
      <c r="AT28" s="353">
        <f>AT6/135</f>
        <v>2.2222222222222221E-4</v>
      </c>
      <c r="AU28" s="353">
        <v>99</v>
      </c>
      <c r="AV28" s="382"/>
      <c r="AW28" s="353"/>
      <c r="AX28" s="353"/>
      <c r="AY28" s="381"/>
      <c r="AZ28" s="356">
        <v>1036</v>
      </c>
      <c r="BA28" s="355">
        <f>SUM(C28+G28+K28+O28+S28+W28+AA28+AE28+AI28+AM28+AQ28+AU28)</f>
        <v>1035.5777777777778</v>
      </c>
      <c r="BB28" s="353">
        <f>BE28</f>
        <v>1035.5777777777778</v>
      </c>
      <c r="BE28" s="353">
        <f>BA28+(BA28*BC6)</f>
        <v>1035.5777777777778</v>
      </c>
      <c r="BF28" s="353">
        <f>BA28</f>
        <v>1035.5777777777778</v>
      </c>
    </row>
    <row r="29" spans="1:58" x14ac:dyDescent="0.3">
      <c r="A29" s="175"/>
      <c r="B29" s="354" t="s">
        <v>146</v>
      </c>
      <c r="C29" s="351">
        <f t="shared" ref="C29:AH29" si="9">C6/C28</f>
        <v>135</v>
      </c>
      <c r="D29" s="351">
        <f t="shared" si="9"/>
        <v>135</v>
      </c>
      <c r="E29" s="351" t="e">
        <f t="shared" si="9"/>
        <v>#DIV/0!</v>
      </c>
      <c r="F29" s="351" t="e">
        <f t="shared" si="9"/>
        <v>#DIV/0!</v>
      </c>
      <c r="G29" s="351">
        <f t="shared" si="9"/>
        <v>135</v>
      </c>
      <c r="H29" s="351">
        <f t="shared" si="9"/>
        <v>135</v>
      </c>
      <c r="I29" s="351" t="e">
        <f t="shared" si="9"/>
        <v>#DIV/0!</v>
      </c>
      <c r="J29" s="351" t="e">
        <f t="shared" si="9"/>
        <v>#DIV/0!</v>
      </c>
      <c r="K29" s="351">
        <f t="shared" si="9"/>
        <v>135</v>
      </c>
      <c r="L29" s="351">
        <f t="shared" si="9"/>
        <v>135</v>
      </c>
      <c r="M29" s="351" t="e">
        <f t="shared" si="9"/>
        <v>#DIV/0!</v>
      </c>
      <c r="N29" s="351" t="e">
        <f t="shared" si="9"/>
        <v>#DIV/0!</v>
      </c>
      <c r="O29" s="351">
        <f t="shared" si="9"/>
        <v>148.49166666666667</v>
      </c>
      <c r="P29" s="351">
        <f t="shared" si="9"/>
        <v>135</v>
      </c>
      <c r="Q29" s="351" t="e">
        <f t="shared" si="9"/>
        <v>#DIV/0!</v>
      </c>
      <c r="R29" s="351">
        <f t="shared" si="9"/>
        <v>135</v>
      </c>
      <c r="S29" s="351">
        <f t="shared" si="9"/>
        <v>144.69724137931036</v>
      </c>
      <c r="T29" s="351">
        <f t="shared" si="9"/>
        <v>135</v>
      </c>
      <c r="U29" s="351" t="e">
        <f t="shared" si="9"/>
        <v>#DIV/0!</v>
      </c>
      <c r="V29" s="351">
        <f t="shared" si="9"/>
        <v>135</v>
      </c>
      <c r="W29" s="351">
        <f t="shared" si="9"/>
        <v>138.78514285714286</v>
      </c>
      <c r="X29" s="351">
        <f t="shared" si="9"/>
        <v>135</v>
      </c>
      <c r="Y29" s="351" t="e">
        <f t="shared" si="9"/>
        <v>#DIV/0!</v>
      </c>
      <c r="Z29" s="351">
        <f t="shared" si="9"/>
        <v>135</v>
      </c>
      <c r="AA29" s="351">
        <f t="shared" si="9"/>
        <v>145.27753846153848</v>
      </c>
      <c r="AB29" s="351">
        <f t="shared" si="9"/>
        <v>135</v>
      </c>
      <c r="AC29" s="351" t="e">
        <f t="shared" si="9"/>
        <v>#DIV/0!</v>
      </c>
      <c r="AD29" s="351">
        <f t="shared" si="9"/>
        <v>135</v>
      </c>
      <c r="AE29" s="351">
        <f t="shared" si="9"/>
        <v>159.57113142857142</v>
      </c>
      <c r="AF29" s="351">
        <f t="shared" si="9"/>
        <v>135</v>
      </c>
      <c r="AG29" s="351">
        <f t="shared" si="9"/>
        <v>135</v>
      </c>
      <c r="AH29" s="351">
        <f t="shared" si="9"/>
        <v>135</v>
      </c>
      <c r="AI29" s="351">
        <f t="shared" ref="AI29:BB29" si="10">AI6/AI28</f>
        <v>139.88724285714287</v>
      </c>
      <c r="AJ29" s="351">
        <f t="shared" si="10"/>
        <v>135</v>
      </c>
      <c r="AK29" s="351">
        <f t="shared" si="10"/>
        <v>135</v>
      </c>
      <c r="AL29" s="351">
        <f t="shared" si="10"/>
        <v>135</v>
      </c>
      <c r="AM29" s="351">
        <f t="shared" si="10"/>
        <v>156.47310545454545</v>
      </c>
      <c r="AN29" s="351">
        <f t="shared" si="10"/>
        <v>135</v>
      </c>
      <c r="AO29" s="351">
        <f t="shared" si="10"/>
        <v>135</v>
      </c>
      <c r="AP29" s="351">
        <f t="shared" si="10"/>
        <v>135</v>
      </c>
      <c r="AQ29" s="351">
        <f t="shared" si="10"/>
        <v>156.21156571428571</v>
      </c>
      <c r="AR29" s="351">
        <f t="shared" si="10"/>
        <v>135</v>
      </c>
      <c r="AS29" s="351">
        <f t="shared" si="10"/>
        <v>135</v>
      </c>
      <c r="AT29" s="351">
        <f t="shared" si="10"/>
        <v>135</v>
      </c>
      <c r="AU29" s="351">
        <f t="shared" si="10"/>
        <v>152.71959818181821</v>
      </c>
      <c r="AV29" s="351" t="e">
        <f t="shared" si="10"/>
        <v>#DIV/0!</v>
      </c>
      <c r="AW29" s="351" t="e">
        <f t="shared" si="10"/>
        <v>#DIV/0!</v>
      </c>
      <c r="AX29" s="351" t="e">
        <f t="shared" si="10"/>
        <v>#DIV/0!</v>
      </c>
      <c r="AY29" s="351" t="e">
        <f t="shared" si="10"/>
        <v>#DIV/0!</v>
      </c>
      <c r="AZ29" s="351">
        <f t="shared" si="10"/>
        <v>140.15432432432434</v>
      </c>
      <c r="BA29" s="351">
        <f t="shared" si="10"/>
        <v>145.56496581403835</v>
      </c>
      <c r="BB29" s="351">
        <f t="shared" si="10"/>
        <v>145.56496581403835</v>
      </c>
      <c r="BE29" s="380"/>
      <c r="BF29" s="380"/>
    </row>
    <row r="30" spans="1:58" hidden="1" x14ac:dyDescent="0.3">
      <c r="A30" s="175"/>
      <c r="B30" s="352" t="s">
        <v>151</v>
      </c>
      <c r="C30" s="351">
        <f t="shared" ref="C30:AH30" si="11">(C6/C28)-(C33/C28)</f>
        <v>36.959167352066785</v>
      </c>
      <c r="D30" s="351">
        <f t="shared" si="11"/>
        <v>135</v>
      </c>
      <c r="E30" s="351" t="e">
        <f t="shared" si="11"/>
        <v>#DIV/0!</v>
      </c>
      <c r="F30" s="351" t="e">
        <f t="shared" si="11"/>
        <v>#DIV/0!</v>
      </c>
      <c r="G30" s="351">
        <f t="shared" si="11"/>
        <v>58.52821933698057</v>
      </c>
      <c r="H30" s="351">
        <f t="shared" si="11"/>
        <v>135</v>
      </c>
      <c r="I30" s="351" t="e">
        <f t="shared" si="11"/>
        <v>#DIV/0!</v>
      </c>
      <c r="J30" s="351" t="e">
        <f t="shared" si="11"/>
        <v>#DIV/0!</v>
      </c>
      <c r="K30" s="351">
        <f t="shared" si="11"/>
        <v>55.525920071963853</v>
      </c>
      <c r="L30" s="351">
        <f t="shared" si="11"/>
        <v>135</v>
      </c>
      <c r="M30" s="351" t="e">
        <f t="shared" si="11"/>
        <v>#DIV/0!</v>
      </c>
      <c r="N30" s="351" t="e">
        <f t="shared" si="11"/>
        <v>#DIV/0!</v>
      </c>
      <c r="O30" s="351">
        <f t="shared" si="11"/>
        <v>50.985267786263634</v>
      </c>
      <c r="P30" s="351">
        <f t="shared" si="11"/>
        <v>135</v>
      </c>
      <c r="Q30" s="351" t="e">
        <f t="shared" si="11"/>
        <v>#DIV/0!</v>
      </c>
      <c r="R30" s="351">
        <f t="shared" si="11"/>
        <v>135</v>
      </c>
      <c r="S30" s="351">
        <f t="shared" si="11"/>
        <v>64.626624906016701</v>
      </c>
      <c r="T30" s="351">
        <f t="shared" si="11"/>
        <v>135</v>
      </c>
      <c r="U30" s="351" t="e">
        <f t="shared" si="11"/>
        <v>#DIV/0!</v>
      </c>
      <c r="V30" s="351">
        <f t="shared" si="11"/>
        <v>135</v>
      </c>
      <c r="W30" s="351">
        <f t="shared" si="11"/>
        <v>52.953893882084756</v>
      </c>
      <c r="X30" s="351">
        <f t="shared" si="11"/>
        <v>135</v>
      </c>
      <c r="Y30" s="351" t="e">
        <f t="shared" si="11"/>
        <v>#DIV/0!</v>
      </c>
      <c r="Z30" s="351">
        <f t="shared" si="11"/>
        <v>135</v>
      </c>
      <c r="AA30" s="351">
        <f t="shared" si="11"/>
        <v>42.228503519551609</v>
      </c>
      <c r="AB30" s="351">
        <f t="shared" si="11"/>
        <v>135</v>
      </c>
      <c r="AC30" s="351" t="e">
        <f t="shared" si="11"/>
        <v>#DIV/0!</v>
      </c>
      <c r="AD30" s="351">
        <f t="shared" si="11"/>
        <v>135</v>
      </c>
      <c r="AE30" s="351">
        <f t="shared" si="11"/>
        <v>78.673117203530197</v>
      </c>
      <c r="AF30" s="351">
        <f t="shared" si="11"/>
        <v>135</v>
      </c>
      <c r="AG30" s="351">
        <f t="shared" si="11"/>
        <v>135</v>
      </c>
      <c r="AH30" s="351">
        <f t="shared" si="11"/>
        <v>135</v>
      </c>
      <c r="AI30" s="351">
        <f t="shared" ref="AI30:BB30" si="12">(AI6/AI28)-(AI33/AI28)</f>
        <v>40.916869869034471</v>
      </c>
      <c r="AJ30" s="351">
        <f t="shared" si="12"/>
        <v>135</v>
      </c>
      <c r="AK30" s="351">
        <f t="shared" si="12"/>
        <v>135</v>
      </c>
      <c r="AL30" s="351">
        <f t="shared" si="12"/>
        <v>135</v>
      </c>
      <c r="AM30" s="351">
        <f t="shared" si="12"/>
        <v>57.439791955939484</v>
      </c>
      <c r="AN30" s="351">
        <f t="shared" si="12"/>
        <v>135</v>
      </c>
      <c r="AO30" s="351">
        <f t="shared" si="12"/>
        <v>135</v>
      </c>
      <c r="AP30" s="351">
        <f t="shared" si="12"/>
        <v>135</v>
      </c>
      <c r="AQ30" s="351">
        <f t="shared" si="12"/>
        <v>57.956237411967606</v>
      </c>
      <c r="AR30" s="351">
        <f t="shared" si="12"/>
        <v>135</v>
      </c>
      <c r="AS30" s="351">
        <f t="shared" si="12"/>
        <v>135</v>
      </c>
      <c r="AT30" s="351">
        <f t="shared" si="12"/>
        <v>135</v>
      </c>
      <c r="AU30" s="351">
        <f t="shared" si="12"/>
        <v>44.948387401704309</v>
      </c>
      <c r="AV30" s="351" t="e">
        <f t="shared" si="12"/>
        <v>#DIV/0!</v>
      </c>
      <c r="AW30" s="351" t="e">
        <f t="shared" si="12"/>
        <v>#DIV/0!</v>
      </c>
      <c r="AX30" s="351" t="e">
        <f t="shared" si="12"/>
        <v>#DIV/0!</v>
      </c>
      <c r="AY30" s="350" t="e">
        <f t="shared" si="12"/>
        <v>#DIV/0!</v>
      </c>
      <c r="AZ30" s="349">
        <f t="shared" si="12"/>
        <v>48.938108108108111</v>
      </c>
      <c r="BA30" s="348">
        <f t="shared" si="12"/>
        <v>52.790347141470491</v>
      </c>
      <c r="BB30" s="348">
        <f t="shared" si="12"/>
        <v>52.790347141470491</v>
      </c>
      <c r="BC30" s="148"/>
      <c r="BE30" s="136"/>
      <c r="BF30" s="136"/>
    </row>
    <row r="31" spans="1:58" x14ac:dyDescent="0.3">
      <c r="A31" s="175">
        <v>5210</v>
      </c>
      <c r="B31" s="168" t="s">
        <v>114</v>
      </c>
      <c r="C31" s="346">
        <f>D31+(D31*E31)</f>
        <v>10018.1900976778</v>
      </c>
      <c r="D31" s="344">
        <f>'[1]TTM Orignal - With Levers'!C23</f>
        <v>10018.1900976778</v>
      </c>
      <c r="E31" s="378">
        <v>0</v>
      </c>
      <c r="F31" s="375"/>
      <c r="G31" s="346">
        <f>H31+(H31*I31)</f>
        <v>6966.1231124984397</v>
      </c>
      <c r="H31" s="344">
        <f>'[1]TTM Orignal - With Levers'!D23</f>
        <v>6966.1231124984397</v>
      </c>
      <c r="I31" s="378">
        <v>0</v>
      </c>
      <c r="J31" s="375"/>
      <c r="K31" s="346">
        <f>L31+(L31*M31)</f>
        <v>6241.3287118419103</v>
      </c>
      <c r="L31" s="344">
        <f>'[1]TTM Orignal - With Levers'!E23</f>
        <v>6241.3287118419103</v>
      </c>
      <c r="M31" s="378">
        <v>0</v>
      </c>
      <c r="N31" s="375"/>
      <c r="O31" s="379">
        <v>6291.3279267172902</v>
      </c>
      <c r="P31" s="344">
        <f>'[1]TTM Orignal - With Levers'!F23</f>
        <v>6291.3279267172902</v>
      </c>
      <c r="Q31" s="378">
        <v>0</v>
      </c>
      <c r="R31" s="375"/>
      <c r="S31" s="346">
        <f>T31+(T31*U31)</f>
        <v>4130.9961413191204</v>
      </c>
      <c r="T31" s="344">
        <f>'[1]TTM Orignal - With Levers'!G23</f>
        <v>4130.9961413191204</v>
      </c>
      <c r="U31" s="378">
        <v>0</v>
      </c>
      <c r="V31" s="375"/>
      <c r="W31" s="346">
        <f>X31+(X31*Y31)</f>
        <v>5371.0794802309701</v>
      </c>
      <c r="X31" s="344">
        <f>'[1]TTM Orignal - With Levers'!H23</f>
        <v>5371.0794802309701</v>
      </c>
      <c r="Y31" s="345">
        <v>0</v>
      </c>
      <c r="Z31" s="375"/>
      <c r="AA31" s="346">
        <f>AB31+(AB31*AC31)</f>
        <v>5998.3520647537698</v>
      </c>
      <c r="AB31" s="344">
        <f>'[1]TTM Orignal - With Levers'!I23</f>
        <v>5998.3520647537698</v>
      </c>
      <c r="AC31" s="377">
        <v>0</v>
      </c>
      <c r="AD31" s="375"/>
      <c r="AE31" s="346">
        <f>AF31+(AF31*AG31)</f>
        <v>5055.3281779571689</v>
      </c>
      <c r="AF31" s="344">
        <f>'[1]TTM Orignal - With Levers'!J23</f>
        <v>4956.2040960364402</v>
      </c>
      <c r="AG31" s="376">
        <v>0.02</v>
      </c>
      <c r="AH31" s="375"/>
      <c r="AI31" s="346">
        <f>AJ31+(AJ31*AK31)</f>
        <v>7464.1012100010048</v>
      </c>
      <c r="AJ31" s="344">
        <f>'[1]TTM Orignal - With Levers'!K23</f>
        <v>7246.7002038844703</v>
      </c>
      <c r="AK31" s="376">
        <v>0.03</v>
      </c>
      <c r="AL31" s="375"/>
      <c r="AM31" s="346">
        <f>AN31+(AN31*AO31)</f>
        <v>9903.3313498605967</v>
      </c>
      <c r="AN31" s="344">
        <f>'[1]TTM Orignal - With Levers'!L23</f>
        <v>9614.8848056899005</v>
      </c>
      <c r="AO31" s="376">
        <v>0.03</v>
      </c>
      <c r="AP31" s="375"/>
      <c r="AQ31" s="346">
        <f>AR31+(AR31*AS31)</f>
        <v>9378.9177015849109</v>
      </c>
      <c r="AR31" s="344">
        <f>'[1]TTM Orignal - With Levers'!M23</f>
        <v>9018.1900976777997</v>
      </c>
      <c r="AS31" s="376">
        <v>0.04</v>
      </c>
      <c r="AT31" s="375"/>
      <c r="AU31" s="346">
        <f>AV31+(AV31*AW31)</f>
        <v>9603.954424755706</v>
      </c>
      <c r="AV31" s="344">
        <f>'[1]TTM Orignal - With Levers'!N23</f>
        <v>9146.6232616721009</v>
      </c>
      <c r="AW31" s="376">
        <v>0.05</v>
      </c>
      <c r="AX31" s="375"/>
      <c r="AY31" s="374">
        <f>SUM(C31:AU31)</f>
        <v>162276.52713752657</v>
      </c>
      <c r="AZ31" s="373">
        <f>'[1]TTM Orignal - With Levers'!V23</f>
        <v>85000.000000000015</v>
      </c>
      <c r="BA31" s="340">
        <f>SUM(C31,G31,K31,O31,S31,W31,AA31,AE31,AI31,AM31,AQ31,AU31)</f>
        <v>86423.030399198688</v>
      </c>
      <c r="BB31" s="372">
        <f>BE31</f>
        <v>86423.030399198688</v>
      </c>
      <c r="BC31" s="317">
        <v>0</v>
      </c>
      <c r="BE31" s="371">
        <f>(BA31+(BA31*BC31))</f>
        <v>86423.030399198688</v>
      </c>
      <c r="BF31" s="370">
        <f>BA31</f>
        <v>86423.030399198688</v>
      </c>
    </row>
    <row r="32" spans="1:58" x14ac:dyDescent="0.3">
      <c r="A32" s="175">
        <v>5220</v>
      </c>
      <c r="B32" s="145" t="s">
        <v>109</v>
      </c>
      <c r="C32" s="221">
        <f>D32+(D32*E32)</f>
        <v>1101.81900976778</v>
      </c>
      <c r="D32" s="158">
        <f>'[1]TTM Orignal - With Levers'!C24</f>
        <v>1101.81900976778</v>
      </c>
      <c r="E32" s="216">
        <v>0</v>
      </c>
      <c r="F32" s="212"/>
      <c r="G32" s="221">
        <f>H32+(H32*I32)</f>
        <v>796.61231124984397</v>
      </c>
      <c r="H32" s="158">
        <f>'[1]TTM Orignal - With Levers'!D24</f>
        <v>796.61231124984397</v>
      </c>
      <c r="I32" s="216">
        <v>0</v>
      </c>
      <c r="J32" s="212"/>
      <c r="K32" s="221">
        <f>L32+(L32*M32)</f>
        <v>724.13287118419112</v>
      </c>
      <c r="L32" s="158">
        <f>'[1]TTM Orignal - With Levers'!E24</f>
        <v>724.13287118419112</v>
      </c>
      <c r="M32" s="216">
        <v>0</v>
      </c>
      <c r="N32" s="212"/>
      <c r="O32" s="156">
        <v>729.13279267172902</v>
      </c>
      <c r="P32" s="158">
        <f>'[1]TTM Orignal - With Levers'!F24</f>
        <v>729.13279267172902</v>
      </c>
      <c r="Q32" s="216">
        <v>0</v>
      </c>
      <c r="R32" s="212"/>
      <c r="S32" s="221">
        <f>T32+(T32*U32)</f>
        <v>513.09961413191206</v>
      </c>
      <c r="T32" s="158">
        <f>'[1]TTM Orignal - With Levers'!G24</f>
        <v>513.09961413191206</v>
      </c>
      <c r="U32" s="216">
        <v>0</v>
      </c>
      <c r="V32" s="212"/>
      <c r="W32" s="221">
        <f>X32+(X32*Y32)</f>
        <v>637.10794802309704</v>
      </c>
      <c r="X32" s="158">
        <f>'[1]TTM Orignal - With Levers'!H24</f>
        <v>637.10794802309704</v>
      </c>
      <c r="Y32" s="218">
        <v>0</v>
      </c>
      <c r="Z32" s="212"/>
      <c r="AA32" s="221">
        <f>AB32+(AB32*AC32)</f>
        <v>699.83520647537705</v>
      </c>
      <c r="AB32" s="158">
        <f>'[1]TTM Orignal - With Levers'!I24</f>
        <v>699.83520647537705</v>
      </c>
      <c r="AC32" s="215">
        <v>0</v>
      </c>
      <c r="AD32" s="212"/>
      <c r="AE32" s="221">
        <f>AF32+(AF32*AG32)</f>
        <v>607.53281779571694</v>
      </c>
      <c r="AF32" s="158">
        <f>'[1]TTM Orignal - With Levers'!J24</f>
        <v>595.62040960364402</v>
      </c>
      <c r="AG32" s="250">
        <v>0.02</v>
      </c>
      <c r="AH32" s="212"/>
      <c r="AI32" s="221">
        <f>AJ32+(AJ32*AK32)</f>
        <v>849.41012100010039</v>
      </c>
      <c r="AJ32" s="158">
        <f>'[1]TTM Orignal - With Levers'!K24</f>
        <v>824.67002038844703</v>
      </c>
      <c r="AK32" s="250">
        <v>0.03</v>
      </c>
      <c r="AL32" s="212"/>
      <c r="AM32" s="221">
        <f>AN32+(AN32*AO32)</f>
        <v>990.3331349860598</v>
      </c>
      <c r="AN32" s="158">
        <f>'[1]TTM Orignal - With Levers'!L24</f>
        <v>961.4884805689901</v>
      </c>
      <c r="AO32" s="250">
        <v>0.03</v>
      </c>
      <c r="AP32" s="212"/>
      <c r="AQ32" s="221">
        <f>AR32+(AR32*AS32)</f>
        <v>937.89177015849123</v>
      </c>
      <c r="AR32" s="158">
        <f>'[1]TTM Orignal - With Levers'!M24</f>
        <v>901.81900976778002</v>
      </c>
      <c r="AS32" s="250">
        <v>0.04</v>
      </c>
      <c r="AT32" s="212"/>
      <c r="AU32" s="221">
        <f>AV32+(AV32*AW32)</f>
        <v>1065.3954424755707</v>
      </c>
      <c r="AV32" s="158">
        <f>'[1]TTM Orignal - With Levers'!N24</f>
        <v>1014.6623261672102</v>
      </c>
      <c r="AW32" s="250">
        <v>0.05</v>
      </c>
      <c r="AX32" s="212"/>
      <c r="AY32" s="97"/>
      <c r="AZ32" s="292">
        <f>'[1]TTM Orignal - With Levers'!V24</f>
        <v>9500.0000000000018</v>
      </c>
      <c r="BA32" s="319">
        <f>SUM(C32,G32,K32,O32,S32,W32,AA32,AE32,AI32,AM32,AQ32,AU32)</f>
        <v>9652.3030399198688</v>
      </c>
      <c r="BB32" s="318">
        <f>BE32</f>
        <v>9652.3030399198688</v>
      </c>
      <c r="BC32" s="317">
        <v>0</v>
      </c>
      <c r="BE32" s="208">
        <f>(BA32+(BA32*BC32))</f>
        <v>9652.3030399198688</v>
      </c>
      <c r="BF32" s="207">
        <f>BA32</f>
        <v>9652.3030399198688</v>
      </c>
    </row>
    <row r="33" spans="1:64" x14ac:dyDescent="0.3">
      <c r="A33" s="175"/>
      <c r="B33" s="167" t="s">
        <v>115</v>
      </c>
      <c r="C33" s="361">
        <f>SUM(C31:C32)</f>
        <v>11120.00910744558</v>
      </c>
      <c r="D33" s="361"/>
      <c r="E33" s="361"/>
      <c r="F33" s="361"/>
      <c r="G33" s="361">
        <f>SUM(G31:G32)</f>
        <v>7762.7354237482832</v>
      </c>
      <c r="H33" s="361"/>
      <c r="I33" s="361"/>
      <c r="J33" s="361"/>
      <c r="K33" s="361">
        <f>SUM(K31:K32)</f>
        <v>6965.4615830261009</v>
      </c>
      <c r="L33" s="361"/>
      <c r="M33" s="361"/>
      <c r="N33" s="361"/>
      <c r="O33" s="361">
        <f>SUM(O31:O32)</f>
        <v>7020.4607193890188</v>
      </c>
      <c r="P33" s="361"/>
      <c r="Q33" s="361"/>
      <c r="R33" s="361"/>
      <c r="S33" s="361">
        <f>SUM(S31:S32)</f>
        <v>4644.0957554510323</v>
      </c>
      <c r="T33" s="361"/>
      <c r="U33" s="361"/>
      <c r="V33" s="361"/>
      <c r="W33" s="361">
        <f>SUM(W31:W32)</f>
        <v>6008.1874282540675</v>
      </c>
      <c r="X33" s="361"/>
      <c r="Y33" s="361"/>
      <c r="Z33" s="361"/>
      <c r="AA33" s="361">
        <f>SUM(AA31:AA32)</f>
        <v>6698.187271229147</v>
      </c>
      <c r="AB33" s="361"/>
      <c r="AC33" s="361"/>
      <c r="AD33" s="361"/>
      <c r="AE33" s="361">
        <f>SUM(AE31:AE32)</f>
        <v>5662.8609957528861</v>
      </c>
      <c r="AF33" s="361"/>
      <c r="AG33" s="361"/>
      <c r="AH33" s="361"/>
      <c r="AI33" s="361">
        <f>SUM(AI31:AI32)</f>
        <v>8313.5113310011056</v>
      </c>
      <c r="AJ33" s="361"/>
      <c r="AK33" s="361"/>
      <c r="AL33" s="361"/>
      <c r="AM33" s="361">
        <f>SUM(AM31:AM32)</f>
        <v>10893.664484846657</v>
      </c>
      <c r="AN33" s="361"/>
      <c r="AO33" s="361"/>
      <c r="AP33" s="361"/>
      <c r="AQ33" s="361">
        <f>SUM(AQ31:AQ32)</f>
        <v>10316.809471743401</v>
      </c>
      <c r="AR33" s="361"/>
      <c r="AS33" s="361"/>
      <c r="AT33" s="361"/>
      <c r="AU33" s="361">
        <f>SUM(AU31:AU32)</f>
        <v>10669.349867231276</v>
      </c>
      <c r="AV33" s="361"/>
      <c r="AW33" s="361"/>
      <c r="AX33" s="361"/>
      <c r="AY33" s="359">
        <f>SUM(AY31:AY32)</f>
        <v>162276.52713752657</v>
      </c>
      <c r="AZ33" s="369">
        <f>SUM(AZ31:AZ32)</f>
        <v>94500.000000000015</v>
      </c>
      <c r="BA33" s="336">
        <f>SUM(BA31:BA32)</f>
        <v>96075.333439118549</v>
      </c>
      <c r="BB33" s="67">
        <f>SUM(BB31:BB32)</f>
        <v>96075.333439118549</v>
      </c>
      <c r="BC33" s="148"/>
      <c r="BE33" s="67">
        <f>SUM(BE31:BE32)</f>
        <v>96075.333439118549</v>
      </c>
      <c r="BF33" s="67">
        <f>SUM(BF31:BF32)</f>
        <v>96075.333439118549</v>
      </c>
    </row>
    <row r="34" spans="1:64" x14ac:dyDescent="0.3">
      <c r="A34" s="175"/>
      <c r="B34" s="358" t="s">
        <v>69</v>
      </c>
      <c r="C34" s="368">
        <f>SUM(C6-C33)</f>
        <v>4191.9908925544205</v>
      </c>
      <c r="D34" s="368"/>
      <c r="E34" s="368"/>
      <c r="F34" s="368"/>
      <c r="G34" s="334">
        <f>SUM(G6-G33)</f>
        <v>5941.2645762517168</v>
      </c>
      <c r="H34" s="368"/>
      <c r="I34" s="368"/>
      <c r="J34" s="368"/>
      <c r="K34" s="334">
        <f>SUM(K6-K33)</f>
        <v>4866.5384169738991</v>
      </c>
      <c r="L34" s="334"/>
      <c r="M34" s="368"/>
      <c r="N34" s="368"/>
      <c r="O34" s="334">
        <f>SUM(O6-O33)</f>
        <v>3670.9392806109809</v>
      </c>
      <c r="P34" s="334"/>
      <c r="Q34" s="368"/>
      <c r="R34" s="368"/>
      <c r="S34" s="334">
        <f>SUM(S6-S33)</f>
        <v>3748.3442445489682</v>
      </c>
      <c r="T34" s="334"/>
      <c r="U34" s="368"/>
      <c r="V34" s="368"/>
      <c r="W34" s="334">
        <f>SUM(W6-W33)</f>
        <v>3706.7725717459316</v>
      </c>
      <c r="X34" s="334"/>
      <c r="Y34" s="368"/>
      <c r="Z34" s="368"/>
      <c r="AA34" s="334">
        <f>SUM(AA6-AA33)</f>
        <v>2744.8527287708539</v>
      </c>
      <c r="AB34" s="334"/>
      <c r="AC34" s="368"/>
      <c r="AD34" s="368"/>
      <c r="AE34" s="334">
        <f>SUM(AE6-AE33)</f>
        <v>5507.1182042471137</v>
      </c>
      <c r="AF34" s="334"/>
      <c r="AG34" s="368"/>
      <c r="AH34" s="368"/>
      <c r="AI34" s="334">
        <f>SUM(AI6-AI33)</f>
        <v>3437.0170689988954</v>
      </c>
      <c r="AJ34" s="334"/>
      <c r="AK34" s="368"/>
      <c r="AL34" s="368"/>
      <c r="AM34" s="334">
        <f>SUM(AM6-AM33)</f>
        <v>6318.3771151533438</v>
      </c>
      <c r="AN34" s="334"/>
      <c r="AO34" s="368"/>
      <c r="AP34" s="368"/>
      <c r="AQ34" s="334">
        <f>SUM(AQ6-AQ33)</f>
        <v>6085.4049282565993</v>
      </c>
      <c r="AR34" s="334"/>
      <c r="AS34" s="368"/>
      <c r="AT34" s="368"/>
      <c r="AU34" s="334">
        <f>SUM(AU6-AU33)</f>
        <v>4449.8903527687271</v>
      </c>
      <c r="AV34" s="334"/>
      <c r="AW34" s="368"/>
      <c r="AX34" s="368"/>
      <c r="AY34" s="333">
        <f>SUM(AY6-AY33)</f>
        <v>-162276.52713752657</v>
      </c>
      <c r="AZ34" s="367">
        <f>SUM(AZ6-AZ33)</f>
        <v>50699.87999999999</v>
      </c>
      <c r="BA34" s="332">
        <f>SUM(BA6-BA33)</f>
        <v>54668.51038088146</v>
      </c>
      <c r="BB34" s="83">
        <f>SUM(BB6-BB33)</f>
        <v>54668.51038088146</v>
      </c>
      <c r="BC34" s="149"/>
      <c r="BE34" s="83">
        <f>SUM(BE6-BE33)</f>
        <v>54668.51038088146</v>
      </c>
      <c r="BF34" s="83">
        <f>SUM(BF6-BF33)</f>
        <v>54668.51038088146</v>
      </c>
      <c r="BG34" s="205"/>
      <c r="BL34" s="205"/>
    </row>
    <row r="35" spans="1:64" x14ac:dyDescent="0.3">
      <c r="A35" s="175"/>
      <c r="B35" s="154" t="s">
        <v>70</v>
      </c>
      <c r="C35" s="85">
        <f>SUM(C6-C33)/C6</f>
        <v>0.27377161001530959</v>
      </c>
      <c r="D35" s="85"/>
      <c r="E35" s="85"/>
      <c r="F35" s="85"/>
      <c r="G35" s="85">
        <f>SUM(G6-G33)/G6</f>
        <v>0.43354236545911534</v>
      </c>
      <c r="H35" s="85"/>
      <c r="I35" s="85"/>
      <c r="J35" s="85"/>
      <c r="K35" s="85">
        <f>SUM(K6-K33)/K6</f>
        <v>0.41130311164417671</v>
      </c>
      <c r="L35" s="85"/>
      <c r="M35" s="85"/>
      <c r="N35" s="85"/>
      <c r="O35" s="85">
        <f>SUM(O6-O33)/O6</f>
        <v>0.34335440453177141</v>
      </c>
      <c r="P35" s="85"/>
      <c r="Q35" s="85"/>
      <c r="R35" s="85"/>
      <c r="S35" s="85">
        <f>SUM(S6-S33)/S6</f>
        <v>0.44663342776939341</v>
      </c>
      <c r="T35" s="85"/>
      <c r="U35" s="85"/>
      <c r="V35" s="85"/>
      <c r="W35" s="85">
        <f>SUM(W6-W33)/W6</f>
        <v>0.38155304517423971</v>
      </c>
      <c r="X35" s="85"/>
      <c r="Y35" s="85"/>
      <c r="Z35" s="85"/>
      <c r="AA35" s="85">
        <f>SUM(AA6-AA33)/AA6</f>
        <v>0.29067469043558575</v>
      </c>
      <c r="AB35" s="85"/>
      <c r="AC35" s="85"/>
      <c r="AD35" s="85"/>
      <c r="AE35" s="85">
        <f>SUM(AE6-AE33)/AE6</f>
        <v>0.49302851022740612</v>
      </c>
      <c r="AF35" s="85"/>
      <c r="AG35" s="85"/>
      <c r="AH35" s="85"/>
      <c r="AI35" s="85">
        <f>SUM(AI6-AI33)/AI6</f>
        <v>0.29249893723918791</v>
      </c>
      <c r="AJ35" s="85"/>
      <c r="AK35" s="85"/>
      <c r="AL35" s="85"/>
      <c r="AM35" s="85">
        <f>SUM(AM6-AM33)/AM6</f>
        <v>0.36709050919057407</v>
      </c>
      <c r="AN35" s="85"/>
      <c r="AO35" s="85"/>
      <c r="AP35" s="85"/>
      <c r="AQ35" s="85">
        <f>SUM(AQ6-AQ33)/AQ6</f>
        <v>0.37101118055477916</v>
      </c>
      <c r="AR35" s="85"/>
      <c r="AS35" s="85"/>
      <c r="AT35" s="85"/>
      <c r="AU35" s="85">
        <f>SUM(AU6-AU33)/AU6</f>
        <v>0.29431970707643973</v>
      </c>
      <c r="AV35" s="85"/>
      <c r="AW35" s="85"/>
      <c r="AX35" s="85"/>
      <c r="AY35" s="260" t="e">
        <f>SUM(AY6-AY33)/AY6</f>
        <v>#DIV/0!</v>
      </c>
      <c r="AZ35" s="366">
        <f>SUM(AZ6-AZ33)/AZ6</f>
        <v>0.34917301584546756</v>
      </c>
      <c r="BA35" s="323">
        <f>SUM(BA6-BA33)/BA6</f>
        <v>0.36265832816469745</v>
      </c>
      <c r="BB35" s="85">
        <f>SUM(BB6-BB33)/BB6</f>
        <v>0.36265832816469745</v>
      </c>
      <c r="BC35" s="149"/>
      <c r="BE35" s="85">
        <f>SUM(BE6-BE33)/BE6</f>
        <v>0.36265832816469745</v>
      </c>
      <c r="BF35" s="85">
        <f>SUM(BF6-BF33)/BF6</f>
        <v>0.36265832816469745</v>
      </c>
      <c r="BG35" s="205"/>
      <c r="BL35" s="205"/>
    </row>
    <row r="36" spans="1:64" ht="15" hidden="1" thickBot="1" x14ac:dyDescent="0.35">
      <c r="A36" s="175"/>
      <c r="B36" s="331" t="s">
        <v>152</v>
      </c>
      <c r="C36" s="327">
        <f t="shared" ref="C36:AH36" si="13">C95/((C6/C28)-(C33/C28))</f>
        <v>714.3630852706068</v>
      </c>
      <c r="D36" s="327">
        <f t="shared" si="13"/>
        <v>0</v>
      </c>
      <c r="E36" s="327" t="e">
        <f t="shared" si="13"/>
        <v>#DIV/0!</v>
      </c>
      <c r="F36" s="327" t="e">
        <f t="shared" si="13"/>
        <v>#DIV/0!</v>
      </c>
      <c r="G36" s="327">
        <f t="shared" si="13"/>
        <v>389.9145429286279</v>
      </c>
      <c r="H36" s="327">
        <f t="shared" si="13"/>
        <v>0</v>
      </c>
      <c r="I36" s="327" t="e">
        <f t="shared" si="13"/>
        <v>#DIV/0!</v>
      </c>
      <c r="J36" s="327" t="e">
        <f t="shared" si="13"/>
        <v>#DIV/0!</v>
      </c>
      <c r="K36" s="327">
        <f t="shared" si="13"/>
        <v>484.92931029965769</v>
      </c>
      <c r="L36" s="327">
        <f t="shared" si="13"/>
        <v>0</v>
      </c>
      <c r="M36" s="327" t="e">
        <f t="shared" si="13"/>
        <v>#DIV/0!</v>
      </c>
      <c r="N36" s="327" t="e">
        <f t="shared" si="13"/>
        <v>#DIV/0!</v>
      </c>
      <c r="O36" s="327">
        <f t="shared" si="13"/>
        <v>458.22105929716253</v>
      </c>
      <c r="P36" s="327">
        <f t="shared" si="13"/>
        <v>0</v>
      </c>
      <c r="Q36" s="327" t="e">
        <f t="shared" si="13"/>
        <v>#DIV/0!</v>
      </c>
      <c r="R36" s="327">
        <f t="shared" si="13"/>
        <v>0</v>
      </c>
      <c r="S36" s="327">
        <f t="shared" si="13"/>
        <v>337.92118010062944</v>
      </c>
      <c r="T36" s="327">
        <f t="shared" si="13"/>
        <v>0</v>
      </c>
      <c r="U36" s="327" t="e">
        <f t="shared" si="13"/>
        <v>#DIV/0!</v>
      </c>
      <c r="V36" s="327">
        <f t="shared" si="13"/>
        <v>0</v>
      </c>
      <c r="W36" s="327">
        <f t="shared" si="13"/>
        <v>509.92466820464</v>
      </c>
      <c r="X36" s="327">
        <f t="shared" si="13"/>
        <v>0</v>
      </c>
      <c r="Y36" s="327" t="e">
        <f t="shared" si="13"/>
        <v>#DIV/0!</v>
      </c>
      <c r="Z36" s="327">
        <f t="shared" si="13"/>
        <v>0</v>
      </c>
      <c r="AA36" s="327">
        <f t="shared" si="13"/>
        <v>567.17213168790829</v>
      </c>
      <c r="AB36" s="327">
        <f t="shared" si="13"/>
        <v>0</v>
      </c>
      <c r="AC36" s="327" t="e">
        <f t="shared" si="13"/>
        <v>#DIV/0!</v>
      </c>
      <c r="AD36" s="327">
        <f t="shared" si="13"/>
        <v>0</v>
      </c>
      <c r="AE36" s="327">
        <f t="shared" si="13"/>
        <v>325.64595223680692</v>
      </c>
      <c r="AF36" s="327">
        <f t="shared" si="13"/>
        <v>0</v>
      </c>
      <c r="AG36" s="327">
        <f t="shared" si="13"/>
        <v>0</v>
      </c>
      <c r="AH36" s="327">
        <f t="shared" si="13"/>
        <v>0</v>
      </c>
      <c r="AI36" s="327">
        <f t="shared" ref="AI36:BB36" si="14">AI95/((AI6/AI28)-(AI33/AI28))</f>
        <v>690.60195100611725</v>
      </c>
      <c r="AJ36" s="327">
        <f t="shared" si="14"/>
        <v>0</v>
      </c>
      <c r="AK36" s="327">
        <f t="shared" si="14"/>
        <v>0</v>
      </c>
      <c r="AL36" s="327">
        <f t="shared" si="14"/>
        <v>0</v>
      </c>
      <c r="AM36" s="327">
        <f t="shared" si="14"/>
        <v>546.39690441956327</v>
      </c>
      <c r="AN36" s="327">
        <f t="shared" si="14"/>
        <v>0</v>
      </c>
      <c r="AO36" s="327">
        <f t="shared" si="14"/>
        <v>0</v>
      </c>
      <c r="AP36" s="327">
        <f t="shared" si="14"/>
        <v>0</v>
      </c>
      <c r="AQ36" s="327">
        <f t="shared" si="14"/>
        <v>518.26543583270893</v>
      </c>
      <c r="AR36" s="327">
        <f t="shared" si="14"/>
        <v>0</v>
      </c>
      <c r="AS36" s="327">
        <f t="shared" si="14"/>
        <v>0</v>
      </c>
      <c r="AT36" s="327">
        <f t="shared" si="14"/>
        <v>0</v>
      </c>
      <c r="AU36" s="327">
        <f t="shared" si="14"/>
        <v>576.27245235041903</v>
      </c>
      <c r="AV36" s="327" t="e">
        <f t="shared" si="14"/>
        <v>#DIV/0!</v>
      </c>
      <c r="AW36" s="327" t="e">
        <f t="shared" si="14"/>
        <v>#DIV/0!</v>
      </c>
      <c r="AX36" s="327" t="e">
        <f t="shared" si="14"/>
        <v>#DIV/0!</v>
      </c>
      <c r="AY36" s="330" t="e">
        <f t="shared" si="14"/>
        <v>#DIV/0!</v>
      </c>
      <c r="AZ36" s="365">
        <f t="shared" si="14"/>
        <v>6331.6910201395867</v>
      </c>
      <c r="BA36" s="328">
        <f t="shared" si="14"/>
        <v>5938.6800168330101</v>
      </c>
      <c r="BB36" s="327">
        <f t="shared" si="14"/>
        <v>5938.6800168330101</v>
      </c>
      <c r="BC36" s="149"/>
      <c r="BE36" s="327">
        <f>BE95/((BE6/BE28)-(BE33/BE28))</f>
        <v>5938.6800168330101</v>
      </c>
      <c r="BF36" s="327">
        <f>BF95/((BF6/BF28)-(BF33/BF28))</f>
        <v>5938.6800168330101</v>
      </c>
      <c r="BG36" s="205">
        <f t="shared" ref="BG36" si="15">SUM(C18,C33,C45,C56)</f>
        <v>24250.249369351441</v>
      </c>
      <c r="BL36" s="205">
        <f t="shared" ref="BL36:BL48" si="16">SUM(BG36:BK36)</f>
        <v>24250.249369351441</v>
      </c>
    </row>
    <row r="37" spans="1:64" x14ac:dyDescent="0.3">
      <c r="A37" s="175"/>
      <c r="B37" s="47"/>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4"/>
      <c r="BA37" s="24"/>
      <c r="BC37" s="146"/>
      <c r="BG37" s="205"/>
      <c r="BL37" s="205"/>
    </row>
    <row r="38" spans="1:64" ht="15" thickBot="1" x14ac:dyDescent="0.35">
      <c r="A38" s="175"/>
      <c r="B38" s="167" t="s">
        <v>116</v>
      </c>
      <c r="C38" s="9"/>
      <c r="D38" s="9"/>
      <c r="E38" s="9"/>
      <c r="F38" s="9"/>
      <c r="G38" s="5"/>
      <c r="H38" s="9"/>
      <c r="I38" s="9"/>
      <c r="J38" s="9"/>
      <c r="K38" s="5"/>
      <c r="L38" s="5"/>
      <c r="M38" s="9"/>
      <c r="N38" s="9"/>
      <c r="O38" s="5"/>
      <c r="P38" s="5"/>
      <c r="Q38" s="9"/>
      <c r="R38" s="9"/>
      <c r="S38" s="5"/>
      <c r="T38" s="5"/>
      <c r="U38" s="9"/>
      <c r="V38" s="9"/>
      <c r="W38" s="6"/>
      <c r="X38" s="6"/>
      <c r="Y38" s="9"/>
      <c r="Z38" s="9"/>
      <c r="AA38" s="6"/>
      <c r="AB38" s="6"/>
      <c r="AC38" s="9"/>
      <c r="AD38" s="9"/>
      <c r="AE38" s="6"/>
      <c r="AF38" s="6"/>
      <c r="AG38" s="9"/>
      <c r="AH38" s="9"/>
      <c r="AI38" s="6"/>
      <c r="AJ38" s="6"/>
      <c r="AK38" s="9"/>
      <c r="AL38" s="9"/>
      <c r="AM38" s="6"/>
      <c r="AN38" s="6"/>
      <c r="AO38" s="9"/>
      <c r="AP38" s="9"/>
      <c r="AQ38" s="6"/>
      <c r="AR38" s="6"/>
      <c r="AS38" s="9"/>
      <c r="AT38" s="9"/>
      <c r="AU38" s="6"/>
      <c r="AV38" s="6"/>
      <c r="AW38" s="9"/>
      <c r="AX38" s="9"/>
      <c r="AY38" s="7"/>
      <c r="AZ38" s="8"/>
      <c r="BA38" s="8"/>
      <c r="BC38" s="195"/>
      <c r="BG38" s="458"/>
      <c r="BL38" s="205"/>
    </row>
    <row r="39" spans="1:64" x14ac:dyDescent="0.3">
      <c r="A39" s="175"/>
      <c r="B39" s="352" t="s">
        <v>153</v>
      </c>
      <c r="C39" s="353">
        <f t="shared" ref="C39:AH39" si="17">(C7/350)</f>
        <v>32.811428571428571</v>
      </c>
      <c r="D39" s="353">
        <f t="shared" si="17"/>
        <v>32.811428571428571</v>
      </c>
      <c r="E39" s="353">
        <f t="shared" si="17"/>
        <v>0</v>
      </c>
      <c r="F39" s="353">
        <f t="shared" si="17"/>
        <v>0</v>
      </c>
      <c r="G39" s="353">
        <f t="shared" si="17"/>
        <v>29.365714285714287</v>
      </c>
      <c r="H39" s="353">
        <f t="shared" si="17"/>
        <v>29.365714285714287</v>
      </c>
      <c r="I39" s="353">
        <f t="shared" si="17"/>
        <v>0</v>
      </c>
      <c r="J39" s="353">
        <f t="shared" si="17"/>
        <v>0</v>
      </c>
      <c r="K39" s="353">
        <f t="shared" si="17"/>
        <v>25.354285714285716</v>
      </c>
      <c r="L39" s="353">
        <f t="shared" si="17"/>
        <v>25.354285714285716</v>
      </c>
      <c r="M39" s="353">
        <f t="shared" si="17"/>
        <v>0</v>
      </c>
      <c r="N39" s="353">
        <f t="shared" si="17"/>
        <v>0</v>
      </c>
      <c r="O39" s="353">
        <f t="shared" si="17"/>
        <v>22.242857142857144</v>
      </c>
      <c r="P39" s="353">
        <f t="shared" si="17"/>
        <v>22.242857142857144</v>
      </c>
      <c r="Q39" s="353">
        <f t="shared" si="17"/>
        <v>0</v>
      </c>
      <c r="R39" s="353">
        <f t="shared" si="17"/>
        <v>0</v>
      </c>
      <c r="S39" s="353">
        <f t="shared" si="17"/>
        <v>17.46</v>
      </c>
      <c r="T39" s="353">
        <f t="shared" si="17"/>
        <v>17.46</v>
      </c>
      <c r="U39" s="353">
        <f t="shared" si="17"/>
        <v>0</v>
      </c>
      <c r="V39" s="353">
        <f t="shared" si="17"/>
        <v>0</v>
      </c>
      <c r="W39" s="353">
        <f t="shared" si="17"/>
        <v>20.21142857142857</v>
      </c>
      <c r="X39" s="353">
        <f t="shared" si="17"/>
        <v>20.21142857142857</v>
      </c>
      <c r="Y39" s="353">
        <f t="shared" si="17"/>
        <v>0</v>
      </c>
      <c r="Z39" s="353">
        <f t="shared" si="17"/>
        <v>0</v>
      </c>
      <c r="AA39" s="353">
        <f t="shared" si="17"/>
        <v>19.645714285714284</v>
      </c>
      <c r="AB39" s="353">
        <f t="shared" si="17"/>
        <v>19.645714285714284</v>
      </c>
      <c r="AC39" s="353">
        <f t="shared" si="17"/>
        <v>0</v>
      </c>
      <c r="AD39" s="353">
        <f t="shared" si="17"/>
        <v>0</v>
      </c>
      <c r="AE39" s="353">
        <f t="shared" si="17"/>
        <v>22.782857142857143</v>
      </c>
      <c r="AF39" s="353">
        <f t="shared" si="17"/>
        <v>22.782857142857143</v>
      </c>
      <c r="AG39" s="353">
        <f t="shared" si="17"/>
        <v>0</v>
      </c>
      <c r="AH39" s="353">
        <f t="shared" si="17"/>
        <v>0</v>
      </c>
      <c r="AI39" s="353">
        <f t="shared" ref="AI39:BA39" si="18">(AI7/350)</f>
        <v>23.734285714285715</v>
      </c>
      <c r="AJ39" s="353">
        <f t="shared" si="18"/>
        <v>23.734285714285715</v>
      </c>
      <c r="AK39" s="353">
        <f t="shared" si="18"/>
        <v>0</v>
      </c>
      <c r="AL39" s="353">
        <f t="shared" si="18"/>
        <v>0</v>
      </c>
      <c r="AM39" s="353">
        <f t="shared" si="18"/>
        <v>34.765714285714289</v>
      </c>
      <c r="AN39" s="353">
        <f t="shared" si="18"/>
        <v>34.765714285714289</v>
      </c>
      <c r="AO39" s="353">
        <f t="shared" si="18"/>
        <v>0</v>
      </c>
      <c r="AP39" s="353">
        <f t="shared" si="18"/>
        <v>0</v>
      </c>
      <c r="AQ39" s="353">
        <f t="shared" si="18"/>
        <v>32.811428571428571</v>
      </c>
      <c r="AR39" s="353">
        <f t="shared" si="18"/>
        <v>32.811428571428571</v>
      </c>
      <c r="AS39" s="353">
        <f t="shared" si="18"/>
        <v>0</v>
      </c>
      <c r="AT39" s="353">
        <f t="shared" si="18"/>
        <v>0</v>
      </c>
      <c r="AU39" s="353">
        <f t="shared" si="18"/>
        <v>29.956885714285715</v>
      </c>
      <c r="AV39" s="353">
        <f t="shared" si="18"/>
        <v>29.956885714285715</v>
      </c>
      <c r="AW39" s="353">
        <f t="shared" si="18"/>
        <v>0</v>
      </c>
      <c r="AX39" s="353">
        <f t="shared" si="18"/>
        <v>0</v>
      </c>
      <c r="AY39" s="357">
        <f t="shared" si="18"/>
        <v>0</v>
      </c>
      <c r="AZ39" s="356">
        <f t="shared" si="18"/>
        <v>311.14260000000002</v>
      </c>
      <c r="BA39" s="355">
        <f t="shared" si="18"/>
        <v>311.14260000000002</v>
      </c>
      <c r="BB39" s="353">
        <f>BE39</f>
        <v>311.14260000000002</v>
      </c>
      <c r="BE39" s="353">
        <f>BA39+(BA39*BC7)</f>
        <v>311.14260000000002</v>
      </c>
      <c r="BF39" s="353">
        <f>BA39</f>
        <v>311.14260000000002</v>
      </c>
      <c r="BG39" s="205"/>
      <c r="BL39" s="205"/>
    </row>
    <row r="40" spans="1:64" hidden="1" x14ac:dyDescent="0.3">
      <c r="A40" s="175"/>
      <c r="B40" s="354" t="s">
        <v>146</v>
      </c>
      <c r="C40" s="351">
        <f t="shared" ref="C40:AH40" si="19">C7/C39</f>
        <v>350</v>
      </c>
      <c r="D40" s="351">
        <f t="shared" si="19"/>
        <v>350</v>
      </c>
      <c r="E40" s="351" t="e">
        <f t="shared" si="19"/>
        <v>#DIV/0!</v>
      </c>
      <c r="F40" s="351" t="e">
        <f t="shared" si="19"/>
        <v>#DIV/0!</v>
      </c>
      <c r="G40" s="351">
        <f t="shared" si="19"/>
        <v>350</v>
      </c>
      <c r="H40" s="351">
        <f t="shared" si="19"/>
        <v>350</v>
      </c>
      <c r="I40" s="351" t="e">
        <f t="shared" si="19"/>
        <v>#DIV/0!</v>
      </c>
      <c r="J40" s="351" t="e">
        <f t="shared" si="19"/>
        <v>#DIV/0!</v>
      </c>
      <c r="K40" s="351">
        <f t="shared" si="19"/>
        <v>350</v>
      </c>
      <c r="L40" s="351">
        <f t="shared" si="19"/>
        <v>350</v>
      </c>
      <c r="M40" s="351" t="e">
        <f t="shared" si="19"/>
        <v>#DIV/0!</v>
      </c>
      <c r="N40" s="351" t="e">
        <f t="shared" si="19"/>
        <v>#DIV/0!</v>
      </c>
      <c r="O40" s="351">
        <f t="shared" si="19"/>
        <v>350</v>
      </c>
      <c r="P40" s="351">
        <f t="shared" si="19"/>
        <v>350</v>
      </c>
      <c r="Q40" s="351" t="e">
        <f t="shared" si="19"/>
        <v>#DIV/0!</v>
      </c>
      <c r="R40" s="351" t="e">
        <f t="shared" si="19"/>
        <v>#DIV/0!</v>
      </c>
      <c r="S40" s="351">
        <f t="shared" si="19"/>
        <v>350</v>
      </c>
      <c r="T40" s="351">
        <f t="shared" si="19"/>
        <v>350</v>
      </c>
      <c r="U40" s="351" t="e">
        <f t="shared" si="19"/>
        <v>#DIV/0!</v>
      </c>
      <c r="V40" s="351" t="e">
        <f t="shared" si="19"/>
        <v>#DIV/0!</v>
      </c>
      <c r="W40" s="351">
        <f t="shared" si="19"/>
        <v>350</v>
      </c>
      <c r="X40" s="351">
        <f t="shared" si="19"/>
        <v>350</v>
      </c>
      <c r="Y40" s="351" t="e">
        <f t="shared" si="19"/>
        <v>#DIV/0!</v>
      </c>
      <c r="Z40" s="351" t="e">
        <f t="shared" si="19"/>
        <v>#DIV/0!</v>
      </c>
      <c r="AA40" s="351">
        <f t="shared" si="19"/>
        <v>350</v>
      </c>
      <c r="AB40" s="351">
        <f t="shared" si="19"/>
        <v>350</v>
      </c>
      <c r="AC40" s="351" t="e">
        <f t="shared" si="19"/>
        <v>#DIV/0!</v>
      </c>
      <c r="AD40" s="351" t="e">
        <f t="shared" si="19"/>
        <v>#DIV/0!</v>
      </c>
      <c r="AE40" s="351">
        <f t="shared" si="19"/>
        <v>350</v>
      </c>
      <c r="AF40" s="351">
        <f t="shared" si="19"/>
        <v>350</v>
      </c>
      <c r="AG40" s="351" t="e">
        <f t="shared" si="19"/>
        <v>#DIV/0!</v>
      </c>
      <c r="AH40" s="351" t="e">
        <f t="shared" si="19"/>
        <v>#DIV/0!</v>
      </c>
      <c r="AI40" s="351">
        <f t="shared" ref="AI40:BB40" si="20">AI7/AI39</f>
        <v>350</v>
      </c>
      <c r="AJ40" s="351">
        <f t="shared" si="20"/>
        <v>350</v>
      </c>
      <c r="AK40" s="351" t="e">
        <f t="shared" si="20"/>
        <v>#DIV/0!</v>
      </c>
      <c r="AL40" s="351" t="e">
        <f t="shared" si="20"/>
        <v>#DIV/0!</v>
      </c>
      <c r="AM40" s="351">
        <f t="shared" si="20"/>
        <v>349.99999999999994</v>
      </c>
      <c r="AN40" s="351">
        <f t="shared" si="20"/>
        <v>349.99999999999994</v>
      </c>
      <c r="AO40" s="351" t="e">
        <f t="shared" si="20"/>
        <v>#DIV/0!</v>
      </c>
      <c r="AP40" s="351" t="e">
        <f t="shared" si="20"/>
        <v>#DIV/0!</v>
      </c>
      <c r="AQ40" s="351">
        <f t="shared" si="20"/>
        <v>350</v>
      </c>
      <c r="AR40" s="351">
        <f t="shared" si="20"/>
        <v>350</v>
      </c>
      <c r="AS40" s="351" t="e">
        <f t="shared" si="20"/>
        <v>#DIV/0!</v>
      </c>
      <c r="AT40" s="351" t="e">
        <f t="shared" si="20"/>
        <v>#DIV/0!</v>
      </c>
      <c r="AU40" s="351">
        <f t="shared" si="20"/>
        <v>350</v>
      </c>
      <c r="AV40" s="351">
        <f t="shared" si="20"/>
        <v>350</v>
      </c>
      <c r="AW40" s="351" t="e">
        <f t="shared" si="20"/>
        <v>#DIV/0!</v>
      </c>
      <c r="AX40" s="351" t="e">
        <f t="shared" si="20"/>
        <v>#DIV/0!</v>
      </c>
      <c r="AY40" s="351" t="e">
        <f t="shared" si="20"/>
        <v>#DIV/0!</v>
      </c>
      <c r="AZ40" s="351">
        <f t="shared" si="20"/>
        <v>350</v>
      </c>
      <c r="BA40" s="351">
        <f t="shared" si="20"/>
        <v>350</v>
      </c>
      <c r="BB40" s="351">
        <f t="shared" si="20"/>
        <v>350</v>
      </c>
      <c r="BE40" s="353"/>
      <c r="BF40" s="353"/>
      <c r="BL40" s="205">
        <f t="shared" si="16"/>
        <v>0</v>
      </c>
    </row>
    <row r="41" spans="1:64" hidden="1" x14ac:dyDescent="0.3">
      <c r="A41" s="175"/>
      <c r="B41" s="352" t="s">
        <v>154</v>
      </c>
      <c r="C41" s="351">
        <f t="shared" ref="C41:AH41" si="21">(C7/C39)-(C45/C39)</f>
        <v>29.046134914679271</v>
      </c>
      <c r="D41" s="351">
        <f t="shared" si="21"/>
        <v>350</v>
      </c>
      <c r="E41" s="351" t="e">
        <f t="shared" si="21"/>
        <v>#DIV/0!</v>
      </c>
      <c r="F41" s="351" t="e">
        <f t="shared" si="21"/>
        <v>#DIV/0!</v>
      </c>
      <c r="G41" s="351">
        <f t="shared" si="21"/>
        <v>2.6046059601057436</v>
      </c>
      <c r="H41" s="351">
        <f t="shared" si="21"/>
        <v>350</v>
      </c>
      <c r="I41" s="351" t="e">
        <f t="shared" si="21"/>
        <v>#DIV/0!</v>
      </c>
      <c r="J41" s="351" t="e">
        <f t="shared" si="21"/>
        <v>#DIV/0!</v>
      </c>
      <c r="K41" s="351">
        <f t="shared" si="21"/>
        <v>31.15124046439945</v>
      </c>
      <c r="L41" s="351">
        <f t="shared" si="21"/>
        <v>350</v>
      </c>
      <c r="M41" s="351" t="e">
        <f t="shared" si="21"/>
        <v>#DIV/0!</v>
      </c>
      <c r="N41" s="351" t="e">
        <f t="shared" si="21"/>
        <v>#DIV/0!</v>
      </c>
      <c r="O41" s="351">
        <f t="shared" si="21"/>
        <v>-7.6532571729501342E-2</v>
      </c>
      <c r="P41" s="351">
        <f t="shared" si="21"/>
        <v>350</v>
      </c>
      <c r="Q41" s="351" t="e">
        <f t="shared" si="21"/>
        <v>#DIV/0!</v>
      </c>
      <c r="R41" s="351" t="e">
        <f t="shared" si="21"/>
        <v>#DIV/0!</v>
      </c>
      <c r="S41" s="351">
        <f t="shared" si="21"/>
        <v>-37.208351587942104</v>
      </c>
      <c r="T41" s="351">
        <f t="shared" si="21"/>
        <v>350</v>
      </c>
      <c r="U41" s="351" t="e">
        <f t="shared" si="21"/>
        <v>#DIV/0!</v>
      </c>
      <c r="V41" s="351" t="e">
        <f t="shared" si="21"/>
        <v>#DIV/0!</v>
      </c>
      <c r="W41" s="351">
        <f t="shared" si="21"/>
        <v>19.886487448742855</v>
      </c>
      <c r="X41" s="351">
        <f t="shared" si="21"/>
        <v>350</v>
      </c>
      <c r="Y41" s="351" t="e">
        <f t="shared" si="21"/>
        <v>#DIV/0!</v>
      </c>
      <c r="Z41" s="351" t="e">
        <f t="shared" si="21"/>
        <v>#DIV/0!</v>
      </c>
      <c r="AA41" s="351">
        <f t="shared" si="21"/>
        <v>13.133736665509616</v>
      </c>
      <c r="AB41" s="351">
        <f t="shared" si="21"/>
        <v>350</v>
      </c>
      <c r="AC41" s="351" t="e">
        <f t="shared" si="21"/>
        <v>#DIV/0!</v>
      </c>
      <c r="AD41" s="351" t="e">
        <f t="shared" si="21"/>
        <v>#DIV/0!</v>
      </c>
      <c r="AE41" s="351">
        <f t="shared" si="21"/>
        <v>11.591994388224862</v>
      </c>
      <c r="AF41" s="351">
        <f t="shared" si="21"/>
        <v>350</v>
      </c>
      <c r="AG41" s="351" t="e">
        <f t="shared" si="21"/>
        <v>#DIV/0!</v>
      </c>
      <c r="AH41" s="351" t="e">
        <f t="shared" si="21"/>
        <v>#DIV/0!</v>
      </c>
      <c r="AI41" s="351">
        <f t="shared" ref="AI41:BB41" si="22">(AI7/AI39)-(AI45/AI39)</f>
        <v>21.32500317832131</v>
      </c>
      <c r="AJ41" s="351">
        <f t="shared" si="22"/>
        <v>350</v>
      </c>
      <c r="AK41" s="351" t="e">
        <f t="shared" si="22"/>
        <v>#DIV/0!</v>
      </c>
      <c r="AL41" s="351" t="e">
        <f t="shared" si="22"/>
        <v>#DIV/0!</v>
      </c>
      <c r="AM41" s="351">
        <f t="shared" si="22"/>
        <v>34.748280547342574</v>
      </c>
      <c r="AN41" s="351">
        <f t="shared" si="22"/>
        <v>349.99999999999994</v>
      </c>
      <c r="AO41" s="351" t="e">
        <f t="shared" si="22"/>
        <v>#DIV/0!</v>
      </c>
      <c r="AP41" s="351" t="e">
        <f t="shared" si="22"/>
        <v>#DIV/0!</v>
      </c>
      <c r="AQ41" s="351">
        <f t="shared" si="22"/>
        <v>9.4752317571239359</v>
      </c>
      <c r="AR41" s="351">
        <f t="shared" si="22"/>
        <v>350</v>
      </c>
      <c r="AS41" s="351" t="e">
        <f t="shared" si="22"/>
        <v>#DIV/0!</v>
      </c>
      <c r="AT41" s="351" t="e">
        <f t="shared" si="22"/>
        <v>#DIV/0!</v>
      </c>
      <c r="AU41" s="351">
        <f t="shared" si="22"/>
        <v>34.562878998151575</v>
      </c>
      <c r="AV41" s="351">
        <f t="shared" si="22"/>
        <v>350</v>
      </c>
      <c r="AW41" s="351" t="e">
        <f t="shared" si="22"/>
        <v>#DIV/0!</v>
      </c>
      <c r="AX41" s="351" t="e">
        <f t="shared" si="22"/>
        <v>#DIV/0!</v>
      </c>
      <c r="AY41" s="350" t="e">
        <f t="shared" si="22"/>
        <v>#DIV/0!</v>
      </c>
      <c r="AZ41" s="349">
        <f t="shared" si="22"/>
        <v>16.559988742766166</v>
      </c>
      <c r="BA41" s="348">
        <f t="shared" si="22"/>
        <v>16.559988742766166</v>
      </c>
      <c r="BB41" s="348">
        <f t="shared" si="22"/>
        <v>16.559988742766166</v>
      </c>
      <c r="BC41" s="148"/>
      <c r="BE41" s="69"/>
      <c r="BF41" s="69"/>
      <c r="BL41" s="205">
        <f t="shared" si="16"/>
        <v>0</v>
      </c>
    </row>
    <row r="42" spans="1:64" x14ac:dyDescent="0.3">
      <c r="A42" s="175">
        <v>5310</v>
      </c>
      <c r="B42" s="201" t="s">
        <v>117</v>
      </c>
      <c r="C42" s="346">
        <f>D42+(D42*E42)</f>
        <v>1898.1833869284187</v>
      </c>
      <c r="D42" s="344">
        <f>'[1]TTM Orignal - With Levers'!C30</f>
        <v>1898.1833869284187</v>
      </c>
      <c r="E42" s="363">
        <v>0</v>
      </c>
      <c r="F42" s="362"/>
      <c r="G42" s="346">
        <f>H42+(H42*I42)</f>
        <v>1698.8443792102307</v>
      </c>
      <c r="H42" s="344">
        <f>'[1]TTM Orignal - With Levers'!D30</f>
        <v>1698.8443792102307</v>
      </c>
      <c r="I42" s="363">
        <v>0</v>
      </c>
      <c r="J42" s="362"/>
      <c r="K42" s="346">
        <f>L42+(L42*M42)</f>
        <v>1466.7780717174146</v>
      </c>
      <c r="L42" s="344">
        <f>'[1]TTM Orignal - With Levers'!E30</f>
        <v>1466.7780717174146</v>
      </c>
      <c r="M42" s="363">
        <v>0</v>
      </c>
      <c r="N42" s="362"/>
      <c r="O42" s="364">
        <f>(O$7/$AZ$7)*$AZ42</f>
        <v>1286.777922956961</v>
      </c>
      <c r="P42" s="344">
        <f>'[1]TTM Orignal - With Levers'!F30</f>
        <v>1286.7779229569612</v>
      </c>
      <c r="Q42" s="363">
        <v>0</v>
      </c>
      <c r="R42" s="362"/>
      <c r="S42" s="346">
        <f>T42+(T42*U42)</f>
        <v>1010.0834794078341</v>
      </c>
      <c r="T42" s="344">
        <f>'[1]TTM Orignal - With Levers'!G30</f>
        <v>1010.0834794078341</v>
      </c>
      <c r="U42" s="363">
        <v>0</v>
      </c>
      <c r="V42" s="362"/>
      <c r="W42" s="346">
        <f>X42+(X42*Y42)</f>
        <v>1169.2571646753427</v>
      </c>
      <c r="X42" s="344">
        <f>'[1]TTM Orignal - With Levers'!H30</f>
        <v>1169.2571646753427</v>
      </c>
      <c r="Y42" s="363">
        <v>0</v>
      </c>
      <c r="Z42" s="362"/>
      <c r="AA42" s="346">
        <f>AB42+(AB42*AC42)</f>
        <v>1136.5298649007148</v>
      </c>
      <c r="AB42" s="344">
        <f>'[1]TTM Orignal - With Levers'!I30</f>
        <v>1136.5298649007148</v>
      </c>
      <c r="AC42" s="363">
        <v>0</v>
      </c>
      <c r="AD42" s="362"/>
      <c r="AE42" s="346">
        <f>AF42+(AF42*AG42)</f>
        <v>1318.0176181963786</v>
      </c>
      <c r="AF42" s="344">
        <f>'[1]TTM Orignal - With Levers'!J30</f>
        <v>1318.0176181963786</v>
      </c>
      <c r="AG42" s="363">
        <v>0</v>
      </c>
      <c r="AH42" s="362"/>
      <c r="AI42" s="346">
        <f>AJ42+(AJ42*AK42)</f>
        <v>1373.0589859991619</v>
      </c>
      <c r="AJ42" s="344">
        <f>'[1]TTM Orignal - With Levers'!K30</f>
        <v>1373.0589859991619</v>
      </c>
      <c r="AK42" s="363">
        <v>0</v>
      </c>
      <c r="AL42" s="362"/>
      <c r="AM42" s="346">
        <f>AN42+(AN42*AO42)</f>
        <v>2011.2413316044062</v>
      </c>
      <c r="AN42" s="344">
        <f>'[1]TTM Orignal - With Levers'!L30</f>
        <v>2011.2413316044062</v>
      </c>
      <c r="AO42" s="363">
        <v>0</v>
      </c>
      <c r="AP42" s="362"/>
      <c r="AQ42" s="346">
        <f>AR42+(AR42*AS42)</f>
        <v>1898.1833869284187</v>
      </c>
      <c r="AR42" s="344">
        <f>'[1]TTM Orignal - With Levers'!M30</f>
        <v>1898.1833869284187</v>
      </c>
      <c r="AS42" s="363">
        <v>0</v>
      </c>
      <c r="AT42" s="362"/>
      <c r="AU42" s="346">
        <f>AV42+(AV42*AW42)</f>
        <v>1733.0444074747168</v>
      </c>
      <c r="AV42" s="344">
        <f>'[1]TTM Orignal - With Levers'!N30</f>
        <v>1733.0444074747168</v>
      </c>
      <c r="AW42" s="363">
        <v>0</v>
      </c>
      <c r="AX42" s="362"/>
      <c r="AY42" s="341">
        <v>18000</v>
      </c>
      <c r="AZ42" s="292">
        <f>'[1]TTM Orignal - With Levers'!V30</f>
        <v>17999.999999999996</v>
      </c>
      <c r="BA42" s="340">
        <f>SUM(C42,G42,K42,O42,S42,W42,AA42,AE42,AI42,AM42,AQ42,AU42)</f>
        <v>17999.999999999996</v>
      </c>
      <c r="BB42" s="318">
        <f>BE42</f>
        <v>17999.999999999996</v>
      </c>
      <c r="BC42" s="317">
        <v>0</v>
      </c>
      <c r="BE42" s="208">
        <f>(BA42+(BA42*BC42))</f>
        <v>17999.999999999996</v>
      </c>
      <c r="BF42" s="207">
        <f>BA42</f>
        <v>17999.999999999996</v>
      </c>
      <c r="BG42" s="205"/>
      <c r="BL42" s="205"/>
    </row>
    <row r="43" spans="1:64" x14ac:dyDescent="0.3">
      <c r="A43" s="175">
        <v>5320</v>
      </c>
      <c r="B43" s="168" t="s">
        <v>118</v>
      </c>
      <c r="C43" s="221">
        <f>D43+(D43*E43)</f>
        <v>3492.0690017099187</v>
      </c>
      <c r="D43" s="158">
        <f>'[1]TTM Orignal - With Levers'!C31</f>
        <v>3492.0690017099187</v>
      </c>
      <c r="E43" s="217">
        <v>0</v>
      </c>
      <c r="F43" s="186"/>
      <c r="G43" s="221">
        <f>H43+(H43*I43)</f>
        <v>3901.8214064639719</v>
      </c>
      <c r="H43" s="158">
        <f>'[1]TTM Orignal - With Levers'!D31</f>
        <v>3901.8214064639719</v>
      </c>
      <c r="I43" s="217">
        <v>0</v>
      </c>
      <c r="J43" s="186"/>
      <c r="K43" s="221">
        <f>L43+(L43*M43)</f>
        <v>2645.0435083004199</v>
      </c>
      <c r="L43" s="158">
        <f>'[1]TTM Orignal - With Levers'!E31</f>
        <v>2645.0435083004199</v>
      </c>
      <c r="M43" s="217">
        <v>0</v>
      </c>
      <c r="N43" s="186"/>
      <c r="O43" s="142">
        <v>3015.0438140857964</v>
      </c>
      <c r="P43" s="158">
        <f>'[1]TTM Orignal - With Levers'!F31</f>
        <v>3015.0438140857964</v>
      </c>
      <c r="Q43" s="217">
        <v>0</v>
      </c>
      <c r="R43" s="186"/>
      <c r="S43" s="221">
        <f>T43+(T43*U43)</f>
        <v>3015.0438140857964</v>
      </c>
      <c r="T43" s="158">
        <f>'[1]TTM Orignal - With Levers'!G31</f>
        <v>3015.0438140857964</v>
      </c>
      <c r="U43" s="217">
        <v>0</v>
      </c>
      <c r="V43" s="186"/>
      <c r="W43" s="221">
        <f>X43+(X43*Y43)</f>
        <v>2336.2002778514693</v>
      </c>
      <c r="X43" s="158">
        <f>'[1]TTM Orignal - With Levers'!H31</f>
        <v>2336.2002778514693</v>
      </c>
      <c r="Y43" s="217">
        <v>0</v>
      </c>
      <c r="Z43" s="186"/>
      <c r="AA43" s="221">
        <f>AB43+(AB43*AC43)</f>
        <v>2403.4730607215374</v>
      </c>
      <c r="AB43" s="158">
        <f>'[1]TTM Orignal - With Levers'!I31</f>
        <v>2403.4730607215374</v>
      </c>
      <c r="AC43" s="217">
        <v>0</v>
      </c>
      <c r="AD43" s="186"/>
      <c r="AE43" s="221">
        <f>AF43+(AF43*AG43)</f>
        <v>2822.3990267760551</v>
      </c>
      <c r="AF43" s="158">
        <f>'[1]TTM Orignal - With Levers'!J31</f>
        <v>2822.3990267760551</v>
      </c>
      <c r="AG43" s="217">
        <v>0</v>
      </c>
      <c r="AH43" s="186"/>
      <c r="AI43" s="221">
        <f>AJ43+(AJ43*AK43)</f>
        <v>2709.2584374036674</v>
      </c>
      <c r="AJ43" s="158">
        <f>'[1]TTM Orignal - With Levers'!K31</f>
        <v>2709.2584374036674</v>
      </c>
      <c r="AK43" s="217">
        <v>0</v>
      </c>
      <c r="AL43" s="186"/>
      <c r="AM43" s="221">
        <f>AN43+(AN43*AO43)</f>
        <v>3501.8214064639701</v>
      </c>
      <c r="AN43" s="158">
        <f>'[1]TTM Orignal - With Levers'!L31</f>
        <v>3501.8214064639701</v>
      </c>
      <c r="AO43" s="217">
        <v>0</v>
      </c>
      <c r="AP43" s="186"/>
      <c r="AQ43" s="221">
        <f>AR43+(AR43*AS43)</f>
        <v>4134.218292742391</v>
      </c>
      <c r="AR43" s="158">
        <f>'[1]TTM Orignal - With Levers'!M31</f>
        <v>4134.218292742391</v>
      </c>
      <c r="AS43" s="217">
        <v>0</v>
      </c>
      <c r="AT43" s="186"/>
      <c r="AU43" s="221">
        <f>AV43+(AV43*AW43)</f>
        <v>3023</v>
      </c>
      <c r="AV43" s="158">
        <f>'[1]TTM Orignal - With Levers'!N31</f>
        <v>3023</v>
      </c>
      <c r="AW43" s="217">
        <v>0</v>
      </c>
      <c r="AX43" s="186"/>
      <c r="AY43" s="76">
        <f>SUM(C43:AU43)</f>
        <v>70975.784093209979</v>
      </c>
      <c r="AZ43" s="292">
        <f>'[1]TTM Orignal - With Levers'!V31</f>
        <v>36999.392046604997</v>
      </c>
      <c r="BA43" s="319">
        <f>SUM(C43,G43,K43,O43,S43,W43,AA43,AE43,AI43,AM43,AQ43,AU43)</f>
        <v>36999.392046604997</v>
      </c>
      <c r="BB43" s="318">
        <f>BE43</f>
        <v>36999.392046604997</v>
      </c>
      <c r="BC43" s="317">
        <v>0</v>
      </c>
      <c r="BE43" s="208">
        <f>(BA43+(BA43*BC43))</f>
        <v>36999.392046604997</v>
      </c>
      <c r="BF43" s="207">
        <f>BA43</f>
        <v>36999.392046604997</v>
      </c>
      <c r="BG43" s="205"/>
      <c r="BL43" s="205"/>
    </row>
    <row r="44" spans="1:64" x14ac:dyDescent="0.3">
      <c r="A44" s="175">
        <v>5330</v>
      </c>
      <c r="B44" s="145" t="s">
        <v>119</v>
      </c>
      <c r="C44" s="221">
        <f>D44+(D44*E44)</f>
        <v>5140.702430332587</v>
      </c>
      <c r="D44" s="158">
        <f>'[1]TTM Orignal - With Levers'!C32</f>
        <v>5140.702430332587</v>
      </c>
      <c r="E44" s="217">
        <v>0</v>
      </c>
      <c r="F44" s="214"/>
      <c r="G44" s="221">
        <f>H44+(H44*I44)</f>
        <v>4600.8480998744626</v>
      </c>
      <c r="H44" s="158">
        <f>'[1]TTM Orignal - With Levers'!D32</f>
        <v>4600.8480998744626</v>
      </c>
      <c r="I44" s="217">
        <v>0</v>
      </c>
      <c r="J44" s="214"/>
      <c r="K44" s="221">
        <f>L44+(L44*M44)</f>
        <v>3972.3609688933625</v>
      </c>
      <c r="L44" s="158">
        <f>'[1]TTM Orignal - With Levers'!E32</f>
        <v>3972.3609688933625</v>
      </c>
      <c r="M44" s="217">
        <v>0</v>
      </c>
      <c r="N44" s="214"/>
      <c r="O44" s="143">
        <f>(O$7/$AZ$7)*$AZ44</f>
        <v>3484.8805660169974</v>
      </c>
      <c r="P44" s="158">
        <f>'[1]TTM Orignal - With Levers'!F32</f>
        <v>3484.8805660169969</v>
      </c>
      <c r="Q44" s="217">
        <v>0</v>
      </c>
      <c r="R44" s="214"/>
      <c r="S44" s="221">
        <f>T44+(T44*U44)</f>
        <v>2735.530525231839</v>
      </c>
      <c r="T44" s="158">
        <f>'[1]TTM Orignal - With Levers'!G32</f>
        <v>2735.530525231839</v>
      </c>
      <c r="U44" s="217">
        <v>0</v>
      </c>
      <c r="V44" s="214"/>
      <c r="W44" s="221">
        <f>X44+(X44*Y44)</f>
        <v>3166.6082368663115</v>
      </c>
      <c r="X44" s="158">
        <f>'[1]TTM Orignal - With Levers'!H32</f>
        <v>3166.6082368663115</v>
      </c>
      <c r="Y44" s="217">
        <v>0</v>
      </c>
      <c r="Z44" s="214"/>
      <c r="AA44" s="221">
        <f>AB44+(AB44*AC44)</f>
        <v>3077.9754363433358</v>
      </c>
      <c r="AB44" s="158">
        <f>'[1]TTM Orignal - With Levers'!I32</f>
        <v>3077.9754363433358</v>
      </c>
      <c r="AC44" s="217">
        <v>0</v>
      </c>
      <c r="AD44" s="214"/>
      <c r="AE44" s="221">
        <f>AF44+(AF44*AG44)</f>
        <v>3569.484602879837</v>
      </c>
      <c r="AF44" s="158">
        <f>'[1]TTM Orignal - With Levers'!J32</f>
        <v>3569.484602879837</v>
      </c>
      <c r="AG44" s="217">
        <v>0</v>
      </c>
      <c r="AH44" s="214"/>
      <c r="AI44" s="221">
        <f>AJ44+(AJ44*AK44)</f>
        <v>3718.5488583048414</v>
      </c>
      <c r="AJ44" s="158">
        <f>'[1]TTM Orignal - With Levers'!K32</f>
        <v>3718.5488583048414</v>
      </c>
      <c r="AK44" s="217">
        <v>0</v>
      </c>
      <c r="AL44" s="214"/>
      <c r="AM44" s="221">
        <f>AN44+(AN44*AO44)</f>
        <v>5446.888468502867</v>
      </c>
      <c r="AN44" s="158">
        <f>'[1]TTM Orignal - With Levers'!L32</f>
        <v>5446.888468502867</v>
      </c>
      <c r="AO44" s="217">
        <v>0</v>
      </c>
      <c r="AP44" s="214"/>
      <c r="AQ44" s="221">
        <f>AR44+(AR44*AS44)</f>
        <v>5140.702430332587</v>
      </c>
      <c r="AR44" s="158">
        <f>'[1]TTM Orignal - With Levers'!M32</f>
        <v>5140.702430332587</v>
      </c>
      <c r="AS44" s="217">
        <v>0</v>
      </c>
      <c r="AT44" s="214"/>
      <c r="AU44" s="221">
        <f>AV44+(AV44*AW44)</f>
        <v>4693.4693764209715</v>
      </c>
      <c r="AV44" s="158">
        <f>'[1]TTM Orignal - With Levers'!N32</f>
        <v>4693.4693764209715</v>
      </c>
      <c r="AW44" s="217">
        <v>0</v>
      </c>
      <c r="AX44" s="214"/>
      <c r="AY44" s="76">
        <v>48500</v>
      </c>
      <c r="AZ44" s="292">
        <f>'[1]TTM Orignal - With Levers'!V32</f>
        <v>48748.000000000007</v>
      </c>
      <c r="BA44" s="319">
        <f>SUM(C44,G44,K44,O44,S44,W44,AA44,AE44,AI44,AM44,AQ44,AU44)</f>
        <v>48748.000000000007</v>
      </c>
      <c r="BB44" s="318">
        <f>BE44</f>
        <v>48748.000000000007</v>
      </c>
      <c r="BC44" s="317">
        <v>0</v>
      </c>
      <c r="BE44" s="208">
        <f>(BA44+(BA44*BC44))</f>
        <v>48748.000000000007</v>
      </c>
      <c r="BF44" s="207">
        <f>BA44</f>
        <v>48748.000000000007</v>
      </c>
      <c r="BG44" s="205"/>
      <c r="BL44" s="205"/>
    </row>
    <row r="45" spans="1:64" x14ac:dyDescent="0.3">
      <c r="A45" s="175"/>
      <c r="B45" s="167" t="s">
        <v>120</v>
      </c>
      <c r="C45" s="360">
        <f>SUM(C42:C44)</f>
        <v>10530.954818970924</v>
      </c>
      <c r="D45" s="360"/>
      <c r="E45" s="360"/>
      <c r="F45" s="360"/>
      <c r="G45" s="361">
        <f>SUM(G42:G44)</f>
        <v>10201.513885548666</v>
      </c>
      <c r="H45" s="360"/>
      <c r="I45" s="360"/>
      <c r="J45" s="360"/>
      <c r="K45" s="361">
        <f>SUM(K42:K44)</f>
        <v>8084.182548911198</v>
      </c>
      <c r="L45" s="361"/>
      <c r="M45" s="360"/>
      <c r="N45" s="360"/>
      <c r="O45" s="361">
        <f>SUM(O42:O44)</f>
        <v>7786.7023030597547</v>
      </c>
      <c r="P45" s="361"/>
      <c r="Q45" s="360"/>
      <c r="R45" s="360"/>
      <c r="S45" s="361">
        <f>SUM(S42:S44)</f>
        <v>6760.657818725469</v>
      </c>
      <c r="T45" s="361"/>
      <c r="U45" s="360"/>
      <c r="V45" s="360"/>
      <c r="W45" s="361">
        <f>SUM(W42:W44)</f>
        <v>6672.065679393123</v>
      </c>
      <c r="X45" s="361"/>
      <c r="Y45" s="360"/>
      <c r="Z45" s="360"/>
      <c r="AA45" s="361">
        <f>SUM(AA42:AA44)</f>
        <v>6617.9783619655882</v>
      </c>
      <c r="AB45" s="361"/>
      <c r="AC45" s="360"/>
      <c r="AD45" s="360"/>
      <c r="AE45" s="361">
        <f>SUM(AE42:AE44)</f>
        <v>7709.9012478522709</v>
      </c>
      <c r="AF45" s="361"/>
      <c r="AG45" s="360"/>
      <c r="AH45" s="360"/>
      <c r="AI45" s="361">
        <f>SUM(AI42:AI44)</f>
        <v>7800.8662817076711</v>
      </c>
      <c r="AJ45" s="361"/>
      <c r="AK45" s="360"/>
      <c r="AL45" s="360"/>
      <c r="AM45" s="361">
        <f>SUM(AM42:AM44)</f>
        <v>10959.951206571244</v>
      </c>
      <c r="AN45" s="361"/>
      <c r="AO45" s="360"/>
      <c r="AP45" s="360"/>
      <c r="AQ45" s="361">
        <f>SUM(AQ42:AQ44)</f>
        <v>11173.104110003396</v>
      </c>
      <c r="AR45" s="361"/>
      <c r="AS45" s="360"/>
      <c r="AT45" s="360"/>
      <c r="AU45" s="361">
        <f>SUM(AU42:AU44)</f>
        <v>9449.5137838956871</v>
      </c>
      <c r="AV45" s="361"/>
      <c r="AW45" s="360"/>
      <c r="AX45" s="360"/>
      <c r="AY45" s="359"/>
      <c r="AZ45" s="295">
        <f>SUM(AZ42:AZ44)</f>
        <v>103747.392046605</v>
      </c>
      <c r="BA45" s="336">
        <f>SUM(BA42:BA44)</f>
        <v>103747.392046605</v>
      </c>
      <c r="BB45" s="69">
        <f>SUM(BB42:BB44)</f>
        <v>103747.392046605</v>
      </c>
      <c r="BC45" s="148"/>
      <c r="BE45" s="69">
        <f>SUM(BE42:BE44)</f>
        <v>103747.392046605</v>
      </c>
      <c r="BF45" s="69">
        <f>SUM(BF42:BF44)</f>
        <v>103747.392046605</v>
      </c>
      <c r="BG45" s="205"/>
      <c r="BL45" s="205"/>
    </row>
    <row r="46" spans="1:64" x14ac:dyDescent="0.3">
      <c r="A46" s="175"/>
      <c r="B46" s="358" t="s">
        <v>69</v>
      </c>
      <c r="C46" s="334">
        <f>SUM(C7-C45)</f>
        <v>953.04518102907605</v>
      </c>
      <c r="D46" s="334"/>
      <c r="E46" s="334"/>
      <c r="F46" s="334"/>
      <c r="G46" s="334">
        <f>SUM(G7-G45)</f>
        <v>76.486114451334288</v>
      </c>
      <c r="H46" s="334"/>
      <c r="I46" s="334"/>
      <c r="J46" s="334"/>
      <c r="K46" s="334">
        <f>SUM(K7-K45)</f>
        <v>789.81745108880204</v>
      </c>
      <c r="L46" s="334"/>
      <c r="M46" s="334"/>
      <c r="N46" s="334"/>
      <c r="O46" s="334">
        <f>SUM(O7-O45)</f>
        <v>-1.7023030597538309</v>
      </c>
      <c r="P46" s="334"/>
      <c r="Q46" s="334"/>
      <c r="R46" s="334"/>
      <c r="S46" s="334">
        <f>SUM(S7-S45)</f>
        <v>-649.65781872546904</v>
      </c>
      <c r="T46" s="334"/>
      <c r="U46" s="334"/>
      <c r="V46" s="334"/>
      <c r="W46" s="334">
        <f>SUM(W7-W45)</f>
        <v>401.93432060687701</v>
      </c>
      <c r="X46" s="334"/>
      <c r="Y46" s="334"/>
      <c r="Z46" s="334"/>
      <c r="AA46" s="334">
        <f>SUM(AA7-AA45)</f>
        <v>258.02163803441181</v>
      </c>
      <c r="AB46" s="334"/>
      <c r="AC46" s="334"/>
      <c r="AD46" s="334"/>
      <c r="AE46" s="334">
        <f>SUM(AE7-AE45)</f>
        <v>264.0987521477291</v>
      </c>
      <c r="AF46" s="334"/>
      <c r="AG46" s="334"/>
      <c r="AH46" s="334"/>
      <c r="AI46" s="334">
        <f>SUM(AI7-AI45)</f>
        <v>506.13371829232892</v>
      </c>
      <c r="AJ46" s="334"/>
      <c r="AK46" s="334"/>
      <c r="AL46" s="334"/>
      <c r="AM46" s="334">
        <f>SUM(AM7-AM45)</f>
        <v>1208.0487934287557</v>
      </c>
      <c r="AN46" s="334"/>
      <c r="AO46" s="334"/>
      <c r="AP46" s="334"/>
      <c r="AQ46" s="334">
        <f>SUM(AQ7-AQ45)</f>
        <v>310.89588999660373</v>
      </c>
      <c r="AR46" s="334"/>
      <c r="AS46" s="334"/>
      <c r="AT46" s="334"/>
      <c r="AU46" s="334">
        <f>SUM(AU7-AU45)</f>
        <v>1035.3962161043128</v>
      </c>
      <c r="AV46" s="334"/>
      <c r="AW46" s="334"/>
      <c r="AX46" s="334"/>
      <c r="AY46" s="333">
        <f>SUM(AY7-AY45)</f>
        <v>0</v>
      </c>
      <c r="AZ46" s="296">
        <f>SUM(AZ7-AZ45)</f>
        <v>5152.5179533949995</v>
      </c>
      <c r="BA46" s="332">
        <f>SUM(BA7-BA45)</f>
        <v>5152.5179533949995</v>
      </c>
      <c r="BB46" s="83">
        <f>SUM(BB7-BB45)</f>
        <v>5152.5179533949995</v>
      </c>
      <c r="BC46" s="149"/>
      <c r="BE46" s="83">
        <f>SUM(BE7-BE45)</f>
        <v>5152.5179533949995</v>
      </c>
      <c r="BF46" s="83">
        <f>SUM(BF7-BF45)</f>
        <v>5152.5179533949995</v>
      </c>
      <c r="BG46" s="205"/>
      <c r="BL46" s="205"/>
    </row>
    <row r="47" spans="1:64" x14ac:dyDescent="0.3">
      <c r="A47" s="175"/>
      <c r="B47" s="130" t="s">
        <v>70</v>
      </c>
      <c r="C47" s="128">
        <f>SUM(C7-C45)/C7</f>
        <v>8.2988956899083602E-2</v>
      </c>
      <c r="D47" s="128"/>
      <c r="E47" s="128"/>
      <c r="F47" s="128"/>
      <c r="G47" s="128">
        <f>SUM(G7-G45)/G7</f>
        <v>7.4417313145878853E-3</v>
      </c>
      <c r="H47" s="128"/>
      <c r="I47" s="128"/>
      <c r="J47" s="128"/>
      <c r="K47" s="128">
        <f>SUM(K7-K45)/K7</f>
        <v>8.9003544183998431E-2</v>
      </c>
      <c r="L47" s="128"/>
      <c r="M47" s="128"/>
      <c r="N47" s="128"/>
      <c r="O47" s="128">
        <f>SUM(O7-O45)/O7</f>
        <v>-2.1866449065559803E-4</v>
      </c>
      <c r="P47" s="128"/>
      <c r="Q47" s="128"/>
      <c r="R47" s="128"/>
      <c r="S47" s="128">
        <f>SUM(S7-S45)/S7</f>
        <v>-0.10630957596554885</v>
      </c>
      <c r="T47" s="128"/>
      <c r="U47" s="128"/>
      <c r="V47" s="128"/>
      <c r="W47" s="128">
        <f>SUM(W7-W45)/W7</f>
        <v>5.6818535567836725E-2</v>
      </c>
      <c r="X47" s="128"/>
      <c r="Y47" s="128"/>
      <c r="Z47" s="128"/>
      <c r="AA47" s="128">
        <f>SUM(AA7-AA45)/AA7</f>
        <v>3.7524961901456051E-2</v>
      </c>
      <c r="AB47" s="128"/>
      <c r="AC47" s="128"/>
      <c r="AD47" s="128"/>
      <c r="AE47" s="128">
        <f>SUM(AE7-AE45)/AE7</f>
        <v>3.3119983966356799E-2</v>
      </c>
      <c r="AF47" s="128"/>
      <c r="AG47" s="128"/>
      <c r="AH47" s="128"/>
      <c r="AI47" s="128">
        <f>SUM(AI7-AI45)/AI7</f>
        <v>6.0928580509489461E-2</v>
      </c>
      <c r="AJ47" s="128"/>
      <c r="AK47" s="128"/>
      <c r="AL47" s="128"/>
      <c r="AM47" s="128">
        <f>SUM(AM7-AM45)/AM7</f>
        <v>9.9280801563835938E-2</v>
      </c>
      <c r="AN47" s="128"/>
      <c r="AO47" s="128"/>
      <c r="AP47" s="128"/>
      <c r="AQ47" s="128">
        <f>SUM(AQ7-AQ45)/AQ7</f>
        <v>2.7072090734639825E-2</v>
      </c>
      <c r="AR47" s="128"/>
      <c r="AS47" s="128"/>
      <c r="AT47" s="128"/>
      <c r="AU47" s="128">
        <f>SUM(AU7-AU45)/AU7</f>
        <v>9.8751082851861655E-2</v>
      </c>
      <c r="AV47" s="128"/>
      <c r="AW47" s="128"/>
      <c r="AX47" s="128"/>
      <c r="AY47" s="262" t="e">
        <f>SUM(AY7-AY45)/AY7</f>
        <v>#DIV/0!</v>
      </c>
      <c r="AZ47" s="298">
        <f>SUM(AZ7-AZ45)/AZ7</f>
        <v>4.7314253550760507E-2</v>
      </c>
      <c r="BA47" s="323">
        <f>SUM(BA7-BA45)/BA7</f>
        <v>4.7314253550760507E-2</v>
      </c>
      <c r="BB47" s="128">
        <f>SUM(BB7-BB45)/BB7</f>
        <v>4.7314253550760507E-2</v>
      </c>
      <c r="BC47" s="149"/>
      <c r="BE47" s="128">
        <f>SUM(BE7-BE45)/BE7</f>
        <v>4.7314253550760507E-2</v>
      </c>
      <c r="BF47" s="128">
        <f>SUM(BF7-BF45)/BF7</f>
        <v>4.7314253550760507E-2</v>
      </c>
      <c r="BG47" s="205"/>
      <c r="BL47" s="205"/>
    </row>
    <row r="48" spans="1:64" ht="15" hidden="1" thickBot="1" x14ac:dyDescent="0.35">
      <c r="A48" s="175"/>
      <c r="B48" s="331" t="s">
        <v>155</v>
      </c>
      <c r="C48" s="327">
        <f t="shared" ref="C48:AH48" si="23">C95/((C7/C39)-(C45/C39))</f>
        <v>908.97687063045328</v>
      </c>
      <c r="D48" s="327">
        <f t="shared" si="23"/>
        <v>0</v>
      </c>
      <c r="E48" s="327" t="e">
        <f t="shared" si="23"/>
        <v>#DIV/0!</v>
      </c>
      <c r="F48" s="327" t="e">
        <f t="shared" si="23"/>
        <v>#DIV/0!</v>
      </c>
      <c r="G48" s="327">
        <f t="shared" si="23"/>
        <v>8761.7874798530975</v>
      </c>
      <c r="H48" s="327">
        <f t="shared" si="23"/>
        <v>0</v>
      </c>
      <c r="I48" s="327" t="e">
        <f t="shared" si="23"/>
        <v>#DIV/0!</v>
      </c>
      <c r="J48" s="327" t="e">
        <f t="shared" si="23"/>
        <v>#DIV/0!</v>
      </c>
      <c r="K48" s="327">
        <f t="shared" si="23"/>
        <v>864.36834369479891</v>
      </c>
      <c r="L48" s="327">
        <f t="shared" si="23"/>
        <v>0</v>
      </c>
      <c r="M48" s="327" t="e">
        <f t="shared" si="23"/>
        <v>#DIV/0!</v>
      </c>
      <c r="N48" s="327" t="e">
        <f t="shared" si="23"/>
        <v>#DIV/0!</v>
      </c>
      <c r="O48" s="327">
        <f t="shared" si="23"/>
        <v>-305262.49001724803</v>
      </c>
      <c r="P48" s="327">
        <f t="shared" si="23"/>
        <v>0</v>
      </c>
      <c r="Q48" s="327" t="e">
        <f t="shared" si="23"/>
        <v>#DIV/0!</v>
      </c>
      <c r="R48" s="327" t="e">
        <f t="shared" si="23"/>
        <v>#DIV/0!</v>
      </c>
      <c r="S48" s="327">
        <f t="shared" si="23"/>
        <v>-586.93020309018573</v>
      </c>
      <c r="T48" s="327">
        <f t="shared" si="23"/>
        <v>0</v>
      </c>
      <c r="U48" s="327" t="e">
        <f t="shared" si="23"/>
        <v>#DIV/0!</v>
      </c>
      <c r="V48" s="327" t="e">
        <f t="shared" si="23"/>
        <v>#DIV/0!</v>
      </c>
      <c r="W48" s="327">
        <f t="shared" si="23"/>
        <v>1357.8313836249033</v>
      </c>
      <c r="X48" s="327">
        <f t="shared" si="23"/>
        <v>0</v>
      </c>
      <c r="Y48" s="327" t="e">
        <f t="shared" si="23"/>
        <v>#DIV/0!</v>
      </c>
      <c r="Z48" s="327" t="e">
        <f t="shared" si="23"/>
        <v>#DIV/0!</v>
      </c>
      <c r="AA48" s="327">
        <f t="shared" si="23"/>
        <v>1823.6112820863448</v>
      </c>
      <c r="AB48" s="327">
        <f t="shared" si="23"/>
        <v>0</v>
      </c>
      <c r="AC48" s="327" t="e">
        <f t="shared" si="23"/>
        <v>#DIV/0!</v>
      </c>
      <c r="AD48" s="327" t="e">
        <f t="shared" si="23"/>
        <v>#DIV/0!</v>
      </c>
      <c r="AE48" s="327">
        <f t="shared" si="23"/>
        <v>2210.1099525380946</v>
      </c>
      <c r="AF48" s="327">
        <f t="shared" si="23"/>
        <v>0</v>
      </c>
      <c r="AG48" s="327" t="e">
        <f t="shared" si="23"/>
        <v>#DIV/0!</v>
      </c>
      <c r="AH48" s="327" t="e">
        <f t="shared" si="23"/>
        <v>#DIV/0!</v>
      </c>
      <c r="AI48" s="327">
        <f t="shared" ref="AI48:BB48" si="24">AI95/((AI7/AI39)-(AI45/AI39))</f>
        <v>1325.0769495474003</v>
      </c>
      <c r="AJ48" s="327">
        <f t="shared" si="24"/>
        <v>0</v>
      </c>
      <c r="AK48" s="327" t="e">
        <f t="shared" si="24"/>
        <v>#DIV/0!</v>
      </c>
      <c r="AL48" s="327" t="e">
        <f t="shared" si="24"/>
        <v>#DIV/0!</v>
      </c>
      <c r="AM48" s="327">
        <f t="shared" si="24"/>
        <v>903.20798672236094</v>
      </c>
      <c r="AN48" s="327">
        <f t="shared" si="24"/>
        <v>0</v>
      </c>
      <c r="AO48" s="327" t="e">
        <f t="shared" si="24"/>
        <v>#DIV/0!</v>
      </c>
      <c r="AP48" s="327" t="e">
        <f t="shared" si="24"/>
        <v>#DIV/0!</v>
      </c>
      <c r="AQ48" s="327">
        <f t="shared" si="24"/>
        <v>3170.024270799951</v>
      </c>
      <c r="AR48" s="327">
        <f t="shared" si="24"/>
        <v>0</v>
      </c>
      <c r="AS48" s="327" t="e">
        <f t="shared" si="24"/>
        <v>#DIV/0!</v>
      </c>
      <c r="AT48" s="327" t="e">
        <f t="shared" si="24"/>
        <v>#DIV/0!</v>
      </c>
      <c r="AU48" s="327">
        <f t="shared" si="24"/>
        <v>749.43170788990381</v>
      </c>
      <c r="AV48" s="327">
        <f t="shared" si="24"/>
        <v>0</v>
      </c>
      <c r="AW48" s="327" t="e">
        <f t="shared" si="24"/>
        <v>#DIV/0!</v>
      </c>
      <c r="AX48" s="327" t="e">
        <f t="shared" si="24"/>
        <v>#DIV/0!</v>
      </c>
      <c r="AY48" s="330" t="e">
        <f t="shared" si="24"/>
        <v>#DIV/0!</v>
      </c>
      <c r="AZ48" s="329">
        <f t="shared" si="24"/>
        <v>18711.424534396723</v>
      </c>
      <c r="BA48" s="328">
        <f t="shared" si="24"/>
        <v>18931.472993161035</v>
      </c>
      <c r="BB48" s="327">
        <f t="shared" si="24"/>
        <v>18931.472993161035</v>
      </c>
      <c r="BC48" s="149"/>
      <c r="BE48" s="327">
        <f>BE95/((BE7/BE39)-(BE45/BE39))</f>
        <v>18931.472993161035</v>
      </c>
      <c r="BF48" s="327">
        <f>BF95/((BF7/BF39)-(BF45/BF39))</f>
        <v>18931.472993161035</v>
      </c>
      <c r="BL48" s="205">
        <f t="shared" si="16"/>
        <v>0</v>
      </c>
    </row>
    <row r="49" spans="1:64" x14ac:dyDescent="0.3">
      <c r="A49" s="175"/>
      <c r="B49" s="47"/>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4"/>
      <c r="BA49" s="24"/>
      <c r="BC49" s="146"/>
      <c r="BG49" s="205"/>
      <c r="BL49" s="205"/>
    </row>
    <row r="50" spans="1:64" ht="15" thickBot="1" x14ac:dyDescent="0.35">
      <c r="A50" s="175"/>
      <c r="B50" s="167" t="s">
        <v>121</v>
      </c>
      <c r="C50" s="9"/>
      <c r="D50" s="9"/>
      <c r="E50" s="9"/>
      <c r="F50" s="9"/>
      <c r="G50" s="5"/>
      <c r="H50" s="9"/>
      <c r="I50" s="9"/>
      <c r="J50" s="9"/>
      <c r="K50" s="5"/>
      <c r="L50" s="5"/>
      <c r="M50" s="9"/>
      <c r="N50" s="9"/>
      <c r="O50" s="5"/>
      <c r="P50" s="5"/>
      <c r="Q50" s="9"/>
      <c r="R50" s="9"/>
      <c r="S50" s="5"/>
      <c r="T50" s="5"/>
      <c r="U50" s="9"/>
      <c r="V50" s="9"/>
      <c r="W50" s="6"/>
      <c r="X50" s="6"/>
      <c r="Y50" s="9"/>
      <c r="Z50" s="9"/>
      <c r="AA50" s="6"/>
      <c r="AB50" s="6"/>
      <c r="AC50" s="9"/>
      <c r="AD50" s="9"/>
      <c r="AE50" s="6"/>
      <c r="AF50" s="6"/>
      <c r="AG50" s="9"/>
      <c r="AH50" s="9"/>
      <c r="AI50" s="6"/>
      <c r="AJ50" s="6"/>
      <c r="AK50" s="9"/>
      <c r="AL50" s="9"/>
      <c r="AM50" s="6"/>
      <c r="AN50" s="6"/>
      <c r="AO50" s="9"/>
      <c r="AP50" s="9"/>
      <c r="AQ50" s="6"/>
      <c r="AR50" s="6"/>
      <c r="AS50" s="9"/>
      <c r="AT50" s="9"/>
      <c r="AU50" s="6"/>
      <c r="AV50" s="6"/>
      <c r="AW50" s="9"/>
      <c r="AX50" s="9"/>
      <c r="AY50" s="7"/>
      <c r="AZ50" s="8"/>
      <c r="BA50" s="8"/>
      <c r="BC50" s="195"/>
    </row>
    <row r="51" spans="1:64" x14ac:dyDescent="0.3">
      <c r="A51" s="175"/>
      <c r="B51" s="352" t="s">
        <v>156</v>
      </c>
      <c r="C51" s="353">
        <f t="shared" ref="C51:AH51" si="25">(C8/150)</f>
        <v>101.34846666666667</v>
      </c>
      <c r="D51" s="353">
        <f t="shared" si="25"/>
        <v>101.34846666666667</v>
      </c>
      <c r="E51" s="353">
        <f t="shared" si="25"/>
        <v>0</v>
      </c>
      <c r="F51" s="353">
        <f t="shared" si="25"/>
        <v>0</v>
      </c>
      <c r="G51" s="353">
        <f t="shared" si="25"/>
        <v>97.868866666666662</v>
      </c>
      <c r="H51" s="353">
        <f t="shared" si="25"/>
        <v>97.868866666666662</v>
      </c>
      <c r="I51" s="353">
        <f t="shared" si="25"/>
        <v>0</v>
      </c>
      <c r="J51" s="353">
        <f t="shared" si="25"/>
        <v>0</v>
      </c>
      <c r="K51" s="353">
        <f t="shared" si="25"/>
        <v>101.53310399999999</v>
      </c>
      <c r="L51" s="353">
        <f t="shared" si="25"/>
        <v>94.012133333333338</v>
      </c>
      <c r="M51" s="353">
        <f t="shared" si="25"/>
        <v>5.3333333333333336E-4</v>
      </c>
      <c r="N51" s="353">
        <f t="shared" si="25"/>
        <v>0</v>
      </c>
      <c r="O51" s="353">
        <f t="shared" si="25"/>
        <v>99.044366666666662</v>
      </c>
      <c r="P51" s="353">
        <f t="shared" si="25"/>
        <v>90.040333333333322</v>
      </c>
      <c r="Q51" s="353">
        <f t="shared" si="25"/>
        <v>6.6666666666666675E-4</v>
      </c>
      <c r="R51" s="353">
        <f t="shared" si="25"/>
        <v>0</v>
      </c>
      <c r="S51" s="353">
        <f t="shared" si="25"/>
        <v>92.041913333333341</v>
      </c>
      <c r="T51" s="353">
        <f t="shared" si="25"/>
        <v>83.67446666666666</v>
      </c>
      <c r="U51" s="353">
        <f t="shared" si="25"/>
        <v>6.6666666666666675E-4</v>
      </c>
      <c r="V51" s="353">
        <f t="shared" si="25"/>
        <v>0</v>
      </c>
      <c r="W51" s="353">
        <f t="shared" si="25"/>
        <v>96.983437999999992</v>
      </c>
      <c r="X51" s="353">
        <f t="shared" si="25"/>
        <v>87.372466666666668</v>
      </c>
      <c r="Y51" s="353">
        <f t="shared" si="25"/>
        <v>7.3333333333333334E-4</v>
      </c>
      <c r="Z51" s="353">
        <f t="shared" si="25"/>
        <v>0</v>
      </c>
      <c r="AA51" s="353">
        <f t="shared" si="25"/>
        <v>96.493535999999992</v>
      </c>
      <c r="AB51" s="353">
        <f t="shared" si="25"/>
        <v>89.345866666666666</v>
      </c>
      <c r="AC51" s="353">
        <f t="shared" si="25"/>
        <v>5.3333333333333336E-4</v>
      </c>
      <c r="AD51" s="353">
        <f t="shared" si="25"/>
        <v>0</v>
      </c>
      <c r="AE51" s="353">
        <f t="shared" si="25"/>
        <v>106.20240799999999</v>
      </c>
      <c r="AF51" s="353">
        <f t="shared" si="25"/>
        <v>91.553799999999995</v>
      </c>
      <c r="AG51" s="353">
        <f t="shared" si="25"/>
        <v>1.0666666666666667E-3</v>
      </c>
      <c r="AH51" s="353">
        <f t="shared" si="25"/>
        <v>0</v>
      </c>
      <c r="AI51" s="353">
        <f t="shared" ref="AI51:AY51" si="26">(AI8/150)</f>
        <v>111.70202533333334</v>
      </c>
      <c r="AJ51" s="353">
        <f t="shared" si="26"/>
        <v>94.662733333333335</v>
      </c>
      <c r="AK51" s="353">
        <f t="shared" si="26"/>
        <v>1.1999999999999999E-3</v>
      </c>
      <c r="AL51" s="353">
        <f t="shared" si="26"/>
        <v>0</v>
      </c>
      <c r="AM51" s="353">
        <f t="shared" si="26"/>
        <v>122.23367066666665</v>
      </c>
      <c r="AN51" s="353">
        <f t="shared" si="26"/>
        <v>100.19153333333333</v>
      </c>
      <c r="AO51" s="353">
        <f t="shared" si="26"/>
        <v>1.4666666666666667E-3</v>
      </c>
      <c r="AP51" s="353">
        <f t="shared" si="26"/>
        <v>0</v>
      </c>
      <c r="AQ51" s="353">
        <f t="shared" si="26"/>
        <v>125.92649999999999</v>
      </c>
      <c r="AR51" s="353">
        <f t="shared" si="26"/>
        <v>99.941666666666663</v>
      </c>
      <c r="AS51" s="353">
        <f t="shared" si="26"/>
        <v>1.7333333333333335E-3</v>
      </c>
      <c r="AT51" s="353">
        <f t="shared" si="26"/>
        <v>0</v>
      </c>
      <c r="AU51" s="353">
        <f t="shared" si="26"/>
        <v>129.12596666666667</v>
      </c>
      <c r="AV51" s="353">
        <f t="shared" si="26"/>
        <v>99.327666666666659</v>
      </c>
      <c r="AW51" s="353">
        <f t="shared" si="26"/>
        <v>2E-3</v>
      </c>
      <c r="AX51" s="353">
        <f t="shared" si="26"/>
        <v>0</v>
      </c>
      <c r="AY51" s="357">
        <f t="shared" si="26"/>
        <v>0</v>
      </c>
      <c r="AZ51" s="356">
        <v>129</v>
      </c>
      <c r="BA51" s="355">
        <v>129</v>
      </c>
      <c r="BB51" s="353">
        <f>BE51</f>
        <v>129</v>
      </c>
      <c r="BE51" s="353">
        <f>BA51+(BA51*BC8)</f>
        <v>129</v>
      </c>
      <c r="BF51" s="353">
        <f>BA51</f>
        <v>129</v>
      </c>
    </row>
    <row r="52" spans="1:64" x14ac:dyDescent="0.3">
      <c r="A52" s="175"/>
      <c r="B52" s="354" t="s">
        <v>157</v>
      </c>
      <c r="C52" s="353">
        <f>C51/20</f>
        <v>5.0674233333333332</v>
      </c>
      <c r="D52" s="353">
        <f t="shared" ref="D52:AU52" si="27">D51/20</f>
        <v>5.0674233333333332</v>
      </c>
      <c r="E52" s="353">
        <f t="shared" si="27"/>
        <v>0</v>
      </c>
      <c r="F52" s="353">
        <f t="shared" si="27"/>
        <v>0</v>
      </c>
      <c r="G52" s="353">
        <f t="shared" si="27"/>
        <v>4.8934433333333329</v>
      </c>
      <c r="H52" s="353">
        <f t="shared" si="27"/>
        <v>4.8934433333333329</v>
      </c>
      <c r="I52" s="353">
        <f t="shared" si="27"/>
        <v>0</v>
      </c>
      <c r="J52" s="353">
        <f t="shared" si="27"/>
        <v>0</v>
      </c>
      <c r="K52" s="353">
        <f t="shared" si="27"/>
        <v>5.0766551999999994</v>
      </c>
      <c r="L52" s="353">
        <f t="shared" si="27"/>
        <v>4.7006066666666673</v>
      </c>
      <c r="M52" s="353">
        <f t="shared" si="27"/>
        <v>2.6666666666666667E-5</v>
      </c>
      <c r="N52" s="353">
        <f t="shared" si="27"/>
        <v>0</v>
      </c>
      <c r="O52" s="353">
        <f t="shared" si="27"/>
        <v>4.9522183333333327</v>
      </c>
      <c r="P52" s="353">
        <f t="shared" si="27"/>
        <v>4.5020166666666661</v>
      </c>
      <c r="Q52" s="353">
        <f t="shared" si="27"/>
        <v>3.3333333333333335E-5</v>
      </c>
      <c r="R52" s="353">
        <f t="shared" si="27"/>
        <v>0</v>
      </c>
      <c r="S52" s="353">
        <f t="shared" si="27"/>
        <v>4.602095666666667</v>
      </c>
      <c r="T52" s="353">
        <f t="shared" si="27"/>
        <v>4.183723333333333</v>
      </c>
      <c r="U52" s="353">
        <f t="shared" si="27"/>
        <v>3.3333333333333335E-5</v>
      </c>
      <c r="V52" s="353">
        <f t="shared" si="27"/>
        <v>0</v>
      </c>
      <c r="W52" s="353">
        <f t="shared" si="27"/>
        <v>4.8491719</v>
      </c>
      <c r="X52" s="353">
        <f t="shared" si="27"/>
        <v>4.3686233333333337</v>
      </c>
      <c r="Y52" s="353">
        <f t="shared" si="27"/>
        <v>3.6666666666666666E-5</v>
      </c>
      <c r="Z52" s="353">
        <f t="shared" si="27"/>
        <v>0</v>
      </c>
      <c r="AA52" s="353">
        <f t="shared" si="27"/>
        <v>4.8246767999999998</v>
      </c>
      <c r="AB52" s="353">
        <f t="shared" si="27"/>
        <v>4.4672933333333331</v>
      </c>
      <c r="AC52" s="353">
        <f t="shared" si="27"/>
        <v>2.6666666666666667E-5</v>
      </c>
      <c r="AD52" s="353">
        <f t="shared" si="27"/>
        <v>0</v>
      </c>
      <c r="AE52" s="353">
        <f t="shared" si="27"/>
        <v>5.3101203999999997</v>
      </c>
      <c r="AF52" s="353">
        <f t="shared" si="27"/>
        <v>4.5776899999999996</v>
      </c>
      <c r="AG52" s="353">
        <f t="shared" si="27"/>
        <v>5.3333333333333333E-5</v>
      </c>
      <c r="AH52" s="353">
        <f t="shared" si="27"/>
        <v>0</v>
      </c>
      <c r="AI52" s="353">
        <f t="shared" si="27"/>
        <v>5.5851012666666673</v>
      </c>
      <c r="AJ52" s="353">
        <f t="shared" si="27"/>
        <v>4.7331366666666668</v>
      </c>
      <c r="AK52" s="353">
        <f t="shared" si="27"/>
        <v>5.9999999999999995E-5</v>
      </c>
      <c r="AL52" s="353">
        <f t="shared" si="27"/>
        <v>0</v>
      </c>
      <c r="AM52" s="353">
        <f t="shared" si="27"/>
        <v>6.1116835333333324</v>
      </c>
      <c r="AN52" s="353">
        <f t="shared" si="27"/>
        <v>5.0095766666666659</v>
      </c>
      <c r="AO52" s="353">
        <f t="shared" si="27"/>
        <v>7.3333333333333331E-5</v>
      </c>
      <c r="AP52" s="353">
        <f t="shared" si="27"/>
        <v>0</v>
      </c>
      <c r="AQ52" s="353">
        <f t="shared" si="27"/>
        <v>6.2963249999999995</v>
      </c>
      <c r="AR52" s="353">
        <f t="shared" si="27"/>
        <v>4.9970833333333333</v>
      </c>
      <c r="AS52" s="353">
        <f t="shared" si="27"/>
        <v>8.6666666666666668E-5</v>
      </c>
      <c r="AT52" s="353">
        <f t="shared" si="27"/>
        <v>0</v>
      </c>
      <c r="AU52" s="353">
        <f t="shared" si="27"/>
        <v>6.4562983333333337</v>
      </c>
      <c r="AV52" s="351">
        <f t="shared" ref="AV52:BB52" si="28">AV8/AV51</f>
        <v>150</v>
      </c>
      <c r="AW52" s="351">
        <f t="shared" si="28"/>
        <v>150</v>
      </c>
      <c r="AX52" s="351" t="e">
        <f t="shared" si="28"/>
        <v>#DIV/0!</v>
      </c>
      <c r="AY52" s="351" t="e">
        <f t="shared" si="28"/>
        <v>#DIV/0!</v>
      </c>
      <c r="AZ52" s="351">
        <f t="shared" si="28"/>
        <v>1313.1860465116279</v>
      </c>
      <c r="BA52" s="351">
        <f t="shared" si="28"/>
        <v>1488.9584441860463</v>
      </c>
      <c r="BB52" s="351">
        <f t="shared" si="28"/>
        <v>1488.9584441860463</v>
      </c>
      <c r="BE52" s="353"/>
      <c r="BF52" s="353"/>
    </row>
    <row r="53" spans="1:64" hidden="1" x14ac:dyDescent="0.3">
      <c r="A53" s="175"/>
      <c r="B53" s="352" t="s">
        <v>158</v>
      </c>
      <c r="C53" s="351">
        <f t="shared" ref="C53:AH53" si="29">(C8/C51)-(C60/C51)</f>
        <v>75.841412430413641</v>
      </c>
      <c r="D53" s="351">
        <f t="shared" si="29"/>
        <v>150</v>
      </c>
      <c r="E53" s="351" t="e">
        <f t="shared" si="29"/>
        <v>#DIV/0!</v>
      </c>
      <c r="F53" s="351" t="e">
        <f t="shared" si="29"/>
        <v>#DIV/0!</v>
      </c>
      <c r="G53" s="351">
        <f t="shared" si="29"/>
        <v>73.984922728616795</v>
      </c>
      <c r="H53" s="351">
        <f t="shared" si="29"/>
        <v>150</v>
      </c>
      <c r="I53" s="351" t="e">
        <f t="shared" si="29"/>
        <v>#DIV/0!</v>
      </c>
      <c r="J53" s="351" t="e">
        <f t="shared" si="29"/>
        <v>#DIV/0!</v>
      </c>
      <c r="K53" s="351">
        <f t="shared" si="29"/>
        <v>76.881384252004921</v>
      </c>
      <c r="L53" s="351">
        <f t="shared" si="29"/>
        <v>150</v>
      </c>
      <c r="M53" s="351">
        <f t="shared" si="29"/>
        <v>150</v>
      </c>
      <c r="N53" s="351" t="e">
        <f t="shared" si="29"/>
        <v>#DIV/0!</v>
      </c>
      <c r="O53" s="351">
        <f t="shared" si="29"/>
        <v>76.279054477138573</v>
      </c>
      <c r="P53" s="351">
        <f t="shared" si="29"/>
        <v>150</v>
      </c>
      <c r="Q53" s="351">
        <f t="shared" si="29"/>
        <v>150</v>
      </c>
      <c r="R53" s="351" t="e">
        <f t="shared" si="29"/>
        <v>#DIV/0!</v>
      </c>
      <c r="S53" s="351">
        <f t="shared" si="29"/>
        <v>74.773667545337346</v>
      </c>
      <c r="T53" s="351">
        <f t="shared" si="29"/>
        <v>150</v>
      </c>
      <c r="U53" s="351">
        <f t="shared" si="29"/>
        <v>150</v>
      </c>
      <c r="V53" s="351" t="e">
        <f t="shared" si="29"/>
        <v>#DIV/0!</v>
      </c>
      <c r="W53" s="351">
        <f t="shared" si="29"/>
        <v>77.16373656169938</v>
      </c>
      <c r="X53" s="351">
        <f t="shared" si="29"/>
        <v>150</v>
      </c>
      <c r="Y53" s="351">
        <f t="shared" si="29"/>
        <v>150</v>
      </c>
      <c r="Z53" s="351" t="e">
        <f t="shared" si="29"/>
        <v>#DIV/0!</v>
      </c>
      <c r="AA53" s="351">
        <f t="shared" si="29"/>
        <v>75.102642433777703</v>
      </c>
      <c r="AB53" s="351">
        <f t="shared" si="29"/>
        <v>150</v>
      </c>
      <c r="AC53" s="351">
        <f t="shared" si="29"/>
        <v>150</v>
      </c>
      <c r="AD53" s="351" t="e">
        <f t="shared" si="29"/>
        <v>#DIV/0!</v>
      </c>
      <c r="AE53" s="351">
        <f t="shared" si="29"/>
        <v>77.115013065302477</v>
      </c>
      <c r="AF53" s="351">
        <f t="shared" si="29"/>
        <v>150</v>
      </c>
      <c r="AG53" s="351">
        <f t="shared" si="29"/>
        <v>150</v>
      </c>
      <c r="AH53" s="351" t="e">
        <f t="shared" si="29"/>
        <v>#DIV/0!</v>
      </c>
      <c r="AI53" s="351">
        <f t="shared" ref="AI53:BB53" si="30">(AI8/AI51)-(AI60/AI51)</f>
        <v>75.086555829552893</v>
      </c>
      <c r="AJ53" s="351">
        <f t="shared" si="30"/>
        <v>150</v>
      </c>
      <c r="AK53" s="351">
        <f t="shared" si="30"/>
        <v>150</v>
      </c>
      <c r="AL53" s="351" t="e">
        <f t="shared" si="30"/>
        <v>#DIV/0!</v>
      </c>
      <c r="AM53" s="351">
        <f t="shared" si="30"/>
        <v>78.415158630192479</v>
      </c>
      <c r="AN53" s="351">
        <f t="shared" si="30"/>
        <v>150</v>
      </c>
      <c r="AO53" s="351">
        <f t="shared" si="30"/>
        <v>150</v>
      </c>
      <c r="AP53" s="351" t="e">
        <f t="shared" si="30"/>
        <v>#DIV/0!</v>
      </c>
      <c r="AQ53" s="351">
        <f t="shared" si="30"/>
        <v>77.403952789398375</v>
      </c>
      <c r="AR53" s="351">
        <f t="shared" si="30"/>
        <v>150</v>
      </c>
      <c r="AS53" s="351">
        <f t="shared" si="30"/>
        <v>150</v>
      </c>
      <c r="AT53" s="351" t="e">
        <f t="shared" si="30"/>
        <v>#DIV/0!</v>
      </c>
      <c r="AU53" s="351">
        <f t="shared" si="30"/>
        <v>77.350079548075385</v>
      </c>
      <c r="AV53" s="351">
        <f t="shared" si="30"/>
        <v>150</v>
      </c>
      <c r="AW53" s="351">
        <f t="shared" si="30"/>
        <v>150</v>
      </c>
      <c r="AX53" s="351" t="e">
        <f t="shared" si="30"/>
        <v>#DIV/0!</v>
      </c>
      <c r="AY53" s="350" t="e">
        <f t="shared" si="30"/>
        <v>#DIV/0!</v>
      </c>
      <c r="AZ53" s="349">
        <f t="shared" si="30"/>
        <v>655.97478078491008</v>
      </c>
      <c r="BA53" s="348">
        <f t="shared" si="30"/>
        <v>758.12626986437988</v>
      </c>
      <c r="BB53" s="348">
        <f t="shared" si="30"/>
        <v>758.12626986437988</v>
      </c>
      <c r="BC53" s="148"/>
      <c r="BE53" s="69"/>
      <c r="BF53" s="69"/>
    </row>
    <row r="54" spans="1:64" x14ac:dyDescent="0.3">
      <c r="A54" s="175">
        <v>5410</v>
      </c>
      <c r="B54" s="347" t="s">
        <v>118</v>
      </c>
      <c r="C54" s="346">
        <f t="shared" ref="C54:C59" si="31">D54+(D54*E54)</f>
        <v>2599.8147337782329</v>
      </c>
      <c r="D54" s="344">
        <f>'[1]TTM Orignal - With Levers'!C38</f>
        <v>2599.8147337782329</v>
      </c>
      <c r="E54" s="345">
        <v>0</v>
      </c>
      <c r="F54" s="342"/>
      <c r="G54" s="346">
        <f t="shared" ref="G54:G59" si="32">H54+(H54*I54)</f>
        <v>2692.2477582503134</v>
      </c>
      <c r="H54" s="344">
        <f>'[1]TTM Orignal - With Levers'!D38</f>
        <v>2692.2477582503134</v>
      </c>
      <c r="I54" s="345">
        <v>0</v>
      </c>
      <c r="J54" s="342"/>
      <c r="K54" s="446">
        <f t="shared" ref="K54:K59" si="33">L54+(L54*M54)</f>
        <v>2583.2039203449203</v>
      </c>
      <c r="L54" s="447">
        <f>'[1]TTM Orignal - With Levers'!E38</f>
        <v>2391.855481800852</v>
      </c>
      <c r="M54" s="448">
        <v>0.08</v>
      </c>
      <c r="N54" s="452"/>
      <c r="O54" s="452">
        <v>2497.3634386344556</v>
      </c>
      <c r="P54" s="447">
        <f>'[1]TTM Orignal - With Levers'!F38</f>
        <v>2497.3634386344556</v>
      </c>
      <c r="Q54" s="448">
        <v>0.1</v>
      </c>
      <c r="R54" s="452"/>
      <c r="S54" s="446">
        <f t="shared" ref="S54:S59" si="34">T54+(T54*U54)</f>
        <v>2553.0841144225196</v>
      </c>
      <c r="T54" s="447">
        <f>'[1]TTM Orignal - With Levers'!G38</f>
        <v>2320.985558565927</v>
      </c>
      <c r="U54" s="448">
        <v>0.1</v>
      </c>
      <c r="V54" s="452"/>
      <c r="W54" s="446">
        <f t="shared" ref="W54:W59" si="35">X54+(X54*Y54)</f>
        <v>2467.2534969099765</v>
      </c>
      <c r="X54" s="447">
        <f>'[1]TTM Orignal - With Levers'!H38</f>
        <v>2222.7508981170959</v>
      </c>
      <c r="Y54" s="448">
        <v>0.11</v>
      </c>
      <c r="Z54" s="452"/>
      <c r="AA54" s="446">
        <f t="shared" ref="AA54:AA59" si="36">AB54+(AB54*AC54)</f>
        <v>2626.6243840627876</v>
      </c>
      <c r="AB54" s="447">
        <f>'[1]TTM Orignal - With Levers'!I38</f>
        <v>2432.0596148729514</v>
      </c>
      <c r="AC54" s="448">
        <v>0.08</v>
      </c>
      <c r="AD54" s="452"/>
      <c r="AE54" s="446">
        <f t="shared" ref="AE54:AE59" si="37">AF54+(AF54*AG54)</f>
        <v>2753.1526810242194</v>
      </c>
      <c r="AF54" s="447">
        <f>'[1]TTM Orignal - With Levers'!J38</f>
        <v>2373.4074836415684</v>
      </c>
      <c r="AG54" s="448">
        <v>0.16</v>
      </c>
      <c r="AH54" s="452"/>
      <c r="AI54" s="446">
        <f t="shared" ref="AI54:AI59" si="38">AJ54+(AJ54*AK54)</f>
        <v>3140.5873128935405</v>
      </c>
      <c r="AJ54" s="447">
        <f>'[1]TTM Orignal - With Levers'!K38</f>
        <v>2661.5146719436784</v>
      </c>
      <c r="AK54" s="448">
        <v>0.18</v>
      </c>
      <c r="AL54" s="452"/>
      <c r="AM54" s="446">
        <f t="shared" ref="AM54:AM59" si="39">AN54+(AN54*AO54)</f>
        <v>3067.8683041408972</v>
      </c>
      <c r="AN54" s="447">
        <f>'[1]TTM Orignal - With Levers'!L38</f>
        <v>2514.6461509351616</v>
      </c>
      <c r="AO54" s="448">
        <v>0.22</v>
      </c>
      <c r="AP54" s="452"/>
      <c r="AQ54" s="446">
        <f t="shared" ref="AQ54:AQ59" si="40">AR54+(AR54*AS54)</f>
        <v>3324.5940255002897</v>
      </c>
      <c r="AR54" s="447">
        <f>'[1]TTM Orignal - With Levers'!M38</f>
        <v>2638.5666869049919</v>
      </c>
      <c r="AS54" s="448">
        <v>0.26</v>
      </c>
      <c r="AT54" s="452"/>
      <c r="AU54" s="446">
        <f t="shared" ref="AU54:AU59" si="41">AV54+(AV54*AW54)</f>
        <v>3451.3402911296143</v>
      </c>
      <c r="AV54" s="344">
        <f>'[1]TTM Orignal - With Levers'!N38</f>
        <v>2654.8771470227803</v>
      </c>
      <c r="AW54" s="343">
        <v>0.3</v>
      </c>
      <c r="AX54" s="342"/>
      <c r="AY54" s="341"/>
      <c r="AZ54" s="292">
        <f>'[1]TTM Orignal - With Levers'!V38</f>
        <v>30000.089624468008</v>
      </c>
      <c r="BA54" s="340">
        <f t="shared" ref="BA54:BA59" si="42">SUM(C54,G54,K54,O54,S54,W54,AA54,AE54,AI54,AM54,AQ54,AU54)</f>
        <v>33757.134461091766</v>
      </c>
      <c r="BB54" s="318">
        <f t="shared" ref="BB54:BB59" si="43">BE54</f>
        <v>33757.134461091766</v>
      </c>
      <c r="BC54" s="317">
        <v>0</v>
      </c>
      <c r="BE54" s="208">
        <f t="shared" ref="BE54:BE59" si="44">(BA54+(BA54*BC54))</f>
        <v>33757.134461091766</v>
      </c>
      <c r="BF54" s="207">
        <f t="shared" ref="BF54:BF59" si="45">BA54</f>
        <v>33757.134461091766</v>
      </c>
    </row>
    <row r="55" spans="1:64" x14ac:dyDescent="0.3">
      <c r="A55" s="175">
        <v>5420</v>
      </c>
      <c r="B55" s="126" t="s">
        <v>119</v>
      </c>
      <c r="C55" s="221">
        <f t="shared" si="31"/>
        <v>2692.2477582503134</v>
      </c>
      <c r="D55" s="158">
        <f>'[1]TTM Orignal - With Levers'!C39</f>
        <v>2692.2477582503134</v>
      </c>
      <c r="E55" s="218">
        <v>0</v>
      </c>
      <c r="F55" s="214"/>
      <c r="G55" s="221">
        <f t="shared" si="32"/>
        <v>2599.8147337782329</v>
      </c>
      <c r="H55" s="158">
        <f>'[1]TTM Orignal - With Levers'!D39</f>
        <v>2599.8147337782329</v>
      </c>
      <c r="I55" s="218">
        <v>0</v>
      </c>
      <c r="J55" s="214"/>
      <c r="K55" s="450">
        <f t="shared" si="33"/>
        <v>2697.152513725212</v>
      </c>
      <c r="L55" s="443">
        <f>'[1]TTM Orignal - With Levers'!E39</f>
        <v>2497.3634386344556</v>
      </c>
      <c r="M55" s="444">
        <v>0.08</v>
      </c>
      <c r="N55" s="453"/>
      <c r="O55" s="453">
        <f>(O$8/$AZ$8)*$AZ55</f>
        <v>2631.0410299809369</v>
      </c>
      <c r="P55" s="443">
        <f>'[1]TTM Orignal - With Levers'!F39</f>
        <v>2391.855481800852</v>
      </c>
      <c r="Q55" s="444">
        <v>0.1</v>
      </c>
      <c r="R55" s="453"/>
      <c r="S55" s="450">
        <f t="shared" si="34"/>
        <v>2445.0259879288055</v>
      </c>
      <c r="T55" s="443">
        <f>'[1]TTM Orignal - With Levers'!G39</f>
        <v>2222.7508981170959</v>
      </c>
      <c r="U55" s="444">
        <v>0.1</v>
      </c>
      <c r="V55" s="453"/>
      <c r="W55" s="450">
        <f t="shared" si="35"/>
        <v>2576.2939700081788</v>
      </c>
      <c r="X55" s="443">
        <f>'[1]TTM Orignal - With Levers'!H39</f>
        <v>2320.985558565927</v>
      </c>
      <c r="Y55" s="444">
        <v>0.11</v>
      </c>
      <c r="Z55" s="453"/>
      <c r="AA55" s="450">
        <f t="shared" si="36"/>
        <v>2563.2800823328939</v>
      </c>
      <c r="AB55" s="443">
        <f>'[1]TTM Orignal - With Levers'!I39</f>
        <v>2373.4074836415684</v>
      </c>
      <c r="AC55" s="444">
        <v>0.08</v>
      </c>
      <c r="AD55" s="453"/>
      <c r="AE55" s="450">
        <f t="shared" si="37"/>
        <v>2821.1891532526238</v>
      </c>
      <c r="AF55" s="443">
        <f>'[1]TTM Orignal - With Levers'!J39</f>
        <v>2432.0596148729514</v>
      </c>
      <c r="AG55" s="444">
        <v>0.16</v>
      </c>
      <c r="AH55" s="453"/>
      <c r="AI55" s="450">
        <f t="shared" si="38"/>
        <v>2967.2824581034906</v>
      </c>
      <c r="AJ55" s="443">
        <f>'[1]TTM Orignal - With Levers'!K39</f>
        <v>2514.6461509351616</v>
      </c>
      <c r="AK55" s="444">
        <v>0.18</v>
      </c>
      <c r="AL55" s="453"/>
      <c r="AM55" s="450">
        <f t="shared" si="39"/>
        <v>3247.0478997712876</v>
      </c>
      <c r="AN55" s="443">
        <f>'[1]TTM Orignal - With Levers'!L39</f>
        <v>2661.5146719436784</v>
      </c>
      <c r="AO55" s="444">
        <v>0.22</v>
      </c>
      <c r="AP55" s="453"/>
      <c r="AQ55" s="450">
        <f t="shared" si="40"/>
        <v>3345.145205248703</v>
      </c>
      <c r="AR55" s="443">
        <f>'[1]TTM Orignal - With Levers'!M39</f>
        <v>2654.8771470227803</v>
      </c>
      <c r="AS55" s="444">
        <v>0.26</v>
      </c>
      <c r="AT55" s="453"/>
      <c r="AU55" s="450">
        <f t="shared" si="41"/>
        <v>3430.1366929764895</v>
      </c>
      <c r="AV55" s="158">
        <f>'[1]TTM Orignal - With Levers'!N39</f>
        <v>2638.5666869049919</v>
      </c>
      <c r="AW55" s="248">
        <v>0.3</v>
      </c>
      <c r="AX55" s="214"/>
      <c r="AY55" s="76">
        <v>30000</v>
      </c>
      <c r="AZ55" s="292">
        <f>'[1]TTM Orignal - With Levers'!V39</f>
        <v>30000.089624468008</v>
      </c>
      <c r="BA55" s="319">
        <f t="shared" si="42"/>
        <v>34015.657485357173</v>
      </c>
      <c r="BB55" s="318">
        <f t="shared" si="43"/>
        <v>34015.657485357173</v>
      </c>
      <c r="BC55" s="317">
        <v>0</v>
      </c>
      <c r="BE55" s="208">
        <f t="shared" si="44"/>
        <v>34015.657485357173</v>
      </c>
      <c r="BF55" s="207">
        <f t="shared" si="45"/>
        <v>34015.657485357173</v>
      </c>
    </row>
    <row r="56" spans="1:64" x14ac:dyDescent="0.3">
      <c r="A56" s="175">
        <v>5430</v>
      </c>
      <c r="B56" s="126" t="s">
        <v>85</v>
      </c>
      <c r="C56" s="221">
        <f t="shared" si="31"/>
        <v>753.82937231008771</v>
      </c>
      <c r="D56" s="158">
        <f>'[1]TTM Orignal - With Levers'!C40</f>
        <v>753.82937231008771</v>
      </c>
      <c r="E56" s="218">
        <v>0</v>
      </c>
      <c r="F56" s="214"/>
      <c r="G56" s="221">
        <f t="shared" si="32"/>
        <v>727.94812545790523</v>
      </c>
      <c r="H56" s="158">
        <f>'[1]TTM Orignal - With Levers'!D40</f>
        <v>727.94812545790523</v>
      </c>
      <c r="I56" s="218">
        <v>0</v>
      </c>
      <c r="J56" s="214"/>
      <c r="K56" s="221">
        <f t="shared" si="33"/>
        <v>699.26176281764754</v>
      </c>
      <c r="L56" s="158">
        <f>'[1]TTM Orignal - With Levers'!E40</f>
        <v>699.26176281764754</v>
      </c>
      <c r="M56" s="218">
        <v>0</v>
      </c>
      <c r="N56" s="214"/>
      <c r="O56" s="143">
        <f>(O$8/$AZ$8)*$AZ56</f>
        <v>736.69148839466231</v>
      </c>
      <c r="P56" s="158">
        <f>'[1]TTM Orignal - With Levers'!F40</f>
        <v>669.71953490423857</v>
      </c>
      <c r="Q56" s="218">
        <v>0</v>
      </c>
      <c r="R56" s="214"/>
      <c r="S56" s="221">
        <f t="shared" si="34"/>
        <v>622.37025147278678</v>
      </c>
      <c r="T56" s="158">
        <f>'[1]TTM Orignal - With Levers'!G40</f>
        <v>622.37025147278678</v>
      </c>
      <c r="U56" s="218">
        <v>0</v>
      </c>
      <c r="V56" s="214"/>
      <c r="W56" s="221">
        <f t="shared" si="35"/>
        <v>649.87595639845949</v>
      </c>
      <c r="X56" s="158">
        <f>'[1]TTM Orignal - With Levers'!H40</f>
        <v>649.87595639845949</v>
      </c>
      <c r="Y56" s="218">
        <v>0</v>
      </c>
      <c r="Z56" s="214"/>
      <c r="AA56" s="221">
        <f t="shared" si="36"/>
        <v>664.55409541963911</v>
      </c>
      <c r="AB56" s="158">
        <f>'[1]TTM Orignal - With Levers'!I40</f>
        <v>664.55409541963911</v>
      </c>
      <c r="AC56" s="218">
        <v>0</v>
      </c>
      <c r="AD56" s="214"/>
      <c r="AE56" s="221">
        <f t="shared" si="37"/>
        <v>680.97669216442637</v>
      </c>
      <c r="AF56" s="158">
        <f>'[1]TTM Orignal - With Levers'!J40</f>
        <v>680.97669216442637</v>
      </c>
      <c r="AG56" s="218">
        <v>0</v>
      </c>
      <c r="AH56" s="214"/>
      <c r="AI56" s="221">
        <f t="shared" si="38"/>
        <v>704.1009222618452</v>
      </c>
      <c r="AJ56" s="158">
        <f>'[1]TTM Orignal - With Levers'!K40</f>
        <v>704.1009222618452</v>
      </c>
      <c r="AK56" s="218">
        <v>0</v>
      </c>
      <c r="AL56" s="214"/>
      <c r="AM56" s="221">
        <f t="shared" si="39"/>
        <v>745.22410814422994</v>
      </c>
      <c r="AN56" s="158">
        <f>'[1]TTM Orignal - With Levers'!L40</f>
        <v>745.22410814422994</v>
      </c>
      <c r="AO56" s="218">
        <v>0</v>
      </c>
      <c r="AP56" s="214"/>
      <c r="AQ56" s="221">
        <f t="shared" si="40"/>
        <v>743.3656011663785</v>
      </c>
      <c r="AR56" s="158">
        <f>'[1]TTM Orignal - With Levers'!M40</f>
        <v>743.3656011663785</v>
      </c>
      <c r="AS56" s="218">
        <v>0</v>
      </c>
      <c r="AT56" s="214"/>
      <c r="AU56" s="221">
        <f t="shared" si="41"/>
        <v>738.79867233339769</v>
      </c>
      <c r="AV56" s="158">
        <f>'[1]TTM Orignal - With Levers'!N40</f>
        <v>738.79867233339769</v>
      </c>
      <c r="AW56" s="218">
        <v>0</v>
      </c>
      <c r="AX56" s="214"/>
      <c r="AY56" s="76">
        <f>SUM(C56:AU56)</f>
        <v>16128.223470859108</v>
      </c>
      <c r="AZ56" s="292">
        <f>'[1]TTM Orignal - With Levers'!V40</f>
        <v>8400.025094851042</v>
      </c>
      <c r="BA56" s="319">
        <f t="shared" si="42"/>
        <v>8466.9970483414672</v>
      </c>
      <c r="BB56" s="318">
        <f t="shared" si="43"/>
        <v>8466.9970483414672</v>
      </c>
      <c r="BC56" s="317">
        <v>0</v>
      </c>
      <c r="BE56" s="208">
        <f t="shared" si="44"/>
        <v>8466.9970483414672</v>
      </c>
      <c r="BF56" s="207">
        <f t="shared" si="45"/>
        <v>8466.9970483414672</v>
      </c>
    </row>
    <row r="57" spans="1:64" x14ac:dyDescent="0.3">
      <c r="A57" s="175">
        <v>5440</v>
      </c>
      <c r="B57" s="126" t="s">
        <v>86</v>
      </c>
      <c r="C57" s="221">
        <f t="shared" si="31"/>
        <v>188.45734307752193</v>
      </c>
      <c r="D57" s="158">
        <f>'[1]TTM Orignal - With Levers'!C41</f>
        <v>188.45734307752193</v>
      </c>
      <c r="E57" s="218">
        <v>0</v>
      </c>
      <c r="F57" s="214"/>
      <c r="G57" s="221">
        <f t="shared" si="32"/>
        <v>181.98703136447631</v>
      </c>
      <c r="H57" s="158">
        <f>'[1]TTM Orignal - With Levers'!D41</f>
        <v>181.98703136447631</v>
      </c>
      <c r="I57" s="218">
        <v>0</v>
      </c>
      <c r="J57" s="214"/>
      <c r="K57" s="221">
        <f t="shared" si="33"/>
        <v>174.81544070441188</v>
      </c>
      <c r="L57" s="158">
        <f>'[1]TTM Orignal - With Levers'!E41</f>
        <v>174.81544070441188</v>
      </c>
      <c r="M57" s="218">
        <v>0</v>
      </c>
      <c r="N57" s="214"/>
      <c r="O57" s="143">
        <f>(O$8/$AZ$8)*$AZ57</f>
        <v>184.17287209866558</v>
      </c>
      <c r="P57" s="158">
        <f>'[1]TTM Orignal - With Levers'!F41</f>
        <v>167.42988372605964</v>
      </c>
      <c r="Q57" s="218">
        <v>0</v>
      </c>
      <c r="R57" s="214"/>
      <c r="S57" s="221">
        <f t="shared" si="34"/>
        <v>155.59256286819669</v>
      </c>
      <c r="T57" s="158">
        <f>'[1]TTM Orignal - With Levers'!G41</f>
        <v>155.59256286819669</v>
      </c>
      <c r="U57" s="218">
        <v>0</v>
      </c>
      <c r="V57" s="214"/>
      <c r="W57" s="221">
        <f t="shared" si="35"/>
        <v>162.46898909961487</v>
      </c>
      <c r="X57" s="158">
        <f>'[1]TTM Orignal - With Levers'!H41</f>
        <v>162.46898909961487</v>
      </c>
      <c r="Y57" s="218">
        <v>0</v>
      </c>
      <c r="Z57" s="214"/>
      <c r="AA57" s="221">
        <f t="shared" si="36"/>
        <v>166.13852385490978</v>
      </c>
      <c r="AB57" s="158">
        <f>'[1]TTM Orignal - With Levers'!I41</f>
        <v>166.13852385490978</v>
      </c>
      <c r="AC57" s="218">
        <v>0</v>
      </c>
      <c r="AD57" s="214"/>
      <c r="AE57" s="221">
        <f t="shared" si="37"/>
        <v>170.24417304110659</v>
      </c>
      <c r="AF57" s="158">
        <f>'[1]TTM Orignal - With Levers'!J41</f>
        <v>170.24417304110659</v>
      </c>
      <c r="AG57" s="218">
        <v>0</v>
      </c>
      <c r="AH57" s="214"/>
      <c r="AI57" s="221">
        <f t="shared" si="38"/>
        <v>176.0252305654613</v>
      </c>
      <c r="AJ57" s="158">
        <f>'[1]TTM Orignal - With Levers'!K41</f>
        <v>176.0252305654613</v>
      </c>
      <c r="AK57" s="218">
        <v>0</v>
      </c>
      <c r="AL57" s="214"/>
      <c r="AM57" s="221">
        <f t="shared" si="39"/>
        <v>186.30602703605749</v>
      </c>
      <c r="AN57" s="158">
        <f>'[1]TTM Orignal - With Levers'!L41</f>
        <v>186.30602703605749</v>
      </c>
      <c r="AO57" s="218">
        <v>0</v>
      </c>
      <c r="AP57" s="214"/>
      <c r="AQ57" s="221">
        <f t="shared" si="40"/>
        <v>185.84140029159462</v>
      </c>
      <c r="AR57" s="158">
        <f>'[1]TTM Orignal - With Levers'!M41</f>
        <v>185.84140029159462</v>
      </c>
      <c r="AS57" s="218">
        <v>0</v>
      </c>
      <c r="AT57" s="214"/>
      <c r="AU57" s="221">
        <f t="shared" si="41"/>
        <v>184.69966808334942</v>
      </c>
      <c r="AV57" s="158">
        <f>'[1]TTM Orignal - With Levers'!N41</f>
        <v>184.69966808334942</v>
      </c>
      <c r="AW57" s="218">
        <v>0</v>
      </c>
      <c r="AX57" s="214"/>
      <c r="AY57" s="76">
        <f>SUM(C57:AU57)</f>
        <v>4032.0558677147769</v>
      </c>
      <c r="AZ57" s="292">
        <f>'[1]TTM Orignal - With Levers'!V41</f>
        <v>2100.0062737127605</v>
      </c>
      <c r="BA57" s="319">
        <f t="shared" si="42"/>
        <v>2116.7492620853668</v>
      </c>
      <c r="BB57" s="318">
        <f t="shared" si="43"/>
        <v>2116.7492620853668</v>
      </c>
      <c r="BC57" s="317">
        <v>0</v>
      </c>
      <c r="BE57" s="208">
        <f t="shared" si="44"/>
        <v>2116.7492620853668</v>
      </c>
      <c r="BF57" s="207">
        <f t="shared" si="45"/>
        <v>2116.7492620853668</v>
      </c>
    </row>
    <row r="58" spans="1:64" x14ac:dyDescent="0.3">
      <c r="A58" s="175">
        <v>5450</v>
      </c>
      <c r="B58" s="126" t="s">
        <v>87</v>
      </c>
      <c r="C58" s="221">
        <f t="shared" si="31"/>
        <v>192.94442267460579</v>
      </c>
      <c r="D58" s="158">
        <f>'[1]TTM Orignal - With Levers'!C42</f>
        <v>192.94442267460579</v>
      </c>
      <c r="E58" s="218">
        <v>0</v>
      </c>
      <c r="F58" s="214"/>
      <c r="G58" s="221">
        <f t="shared" si="32"/>
        <v>186.32005592077337</v>
      </c>
      <c r="H58" s="158">
        <f>'[1]TTM Orignal - With Levers'!D42</f>
        <v>186.32005592077337</v>
      </c>
      <c r="I58" s="218">
        <v>0</v>
      </c>
      <c r="J58" s="214"/>
      <c r="K58" s="221">
        <f t="shared" si="33"/>
        <v>178.97771310213599</v>
      </c>
      <c r="L58" s="158">
        <f>'[1]TTM Orignal - With Levers'!E42</f>
        <v>178.97771310213599</v>
      </c>
      <c r="M58" s="218">
        <v>0</v>
      </c>
      <c r="N58" s="214"/>
      <c r="O58" s="143">
        <f>(O$8/$AZ$8)*$AZ58</f>
        <v>188.55794048196714</v>
      </c>
      <c r="P58" s="158">
        <f>'[1]TTM Orignal - With Levers'!F42</f>
        <v>171.41630952906107</v>
      </c>
      <c r="Q58" s="218">
        <v>0</v>
      </c>
      <c r="R58" s="214"/>
      <c r="S58" s="221">
        <f t="shared" si="34"/>
        <v>159.29714769839185</v>
      </c>
      <c r="T58" s="158">
        <f>'[1]TTM Orignal - With Levers'!G42</f>
        <v>159.29714769839185</v>
      </c>
      <c r="U58" s="218">
        <v>0</v>
      </c>
      <c r="V58" s="214"/>
      <c r="W58" s="221">
        <f t="shared" si="35"/>
        <v>166.33729836389142</v>
      </c>
      <c r="X58" s="158">
        <f>'[1]TTM Orignal - With Levers'!H42</f>
        <v>166.33729836389142</v>
      </c>
      <c r="Y58" s="218">
        <v>0</v>
      </c>
      <c r="Z58" s="214"/>
      <c r="AA58" s="221">
        <f t="shared" si="36"/>
        <v>170.09420299431241</v>
      </c>
      <c r="AB58" s="158">
        <f>'[1]TTM Orignal - With Levers'!I42</f>
        <v>170.09420299431241</v>
      </c>
      <c r="AC58" s="218">
        <v>0</v>
      </c>
      <c r="AD58" s="214"/>
      <c r="AE58" s="221">
        <f t="shared" si="37"/>
        <v>174.29760573256152</v>
      </c>
      <c r="AF58" s="158">
        <f>'[1]TTM Orignal - With Levers'!J42</f>
        <v>174.29760573256152</v>
      </c>
      <c r="AG58" s="218">
        <v>0</v>
      </c>
      <c r="AH58" s="214"/>
      <c r="AI58" s="221">
        <f t="shared" si="38"/>
        <v>180.21630748368659</v>
      </c>
      <c r="AJ58" s="158">
        <f>'[1]TTM Orignal - With Levers'!K42</f>
        <v>180.21630748368659</v>
      </c>
      <c r="AK58" s="218">
        <v>0</v>
      </c>
      <c r="AL58" s="214"/>
      <c r="AM58" s="221">
        <f t="shared" si="39"/>
        <v>190.74188482263028</v>
      </c>
      <c r="AN58" s="158">
        <f>'[1]TTM Orignal - With Levers'!L42</f>
        <v>190.74188482263028</v>
      </c>
      <c r="AO58" s="218">
        <v>0</v>
      </c>
      <c r="AP58" s="214"/>
      <c r="AQ58" s="221">
        <f t="shared" si="40"/>
        <v>190.26619553663258</v>
      </c>
      <c r="AR58" s="158">
        <f>'[1]TTM Orignal - With Levers'!M42</f>
        <v>190.26619553663258</v>
      </c>
      <c r="AS58" s="218">
        <v>0</v>
      </c>
      <c r="AT58" s="214"/>
      <c r="AU58" s="221">
        <f t="shared" si="41"/>
        <v>189.0972792281911</v>
      </c>
      <c r="AV58" s="158">
        <f>'[1]TTM Orignal - With Levers'!N42</f>
        <v>189.0972792281911</v>
      </c>
      <c r="AW58" s="218">
        <v>0</v>
      </c>
      <c r="AX58" s="214"/>
      <c r="AY58" s="76"/>
      <c r="AZ58" s="292">
        <f>'[1]TTM Orignal - With Levers'!V42</f>
        <v>2150.0064230868738</v>
      </c>
      <c r="BA58" s="319">
        <f t="shared" si="42"/>
        <v>2167.1480540397797</v>
      </c>
      <c r="BB58" s="318">
        <f t="shared" si="43"/>
        <v>2167.1480540397797</v>
      </c>
      <c r="BC58" s="317">
        <v>0</v>
      </c>
      <c r="BE58" s="208">
        <f t="shared" si="44"/>
        <v>2167.1480540397797</v>
      </c>
      <c r="BF58" s="207">
        <f t="shared" si="45"/>
        <v>2167.1480540397797</v>
      </c>
    </row>
    <row r="59" spans="1:64" x14ac:dyDescent="0.3">
      <c r="A59" s="175">
        <v>5460</v>
      </c>
      <c r="B59" s="126" t="s">
        <v>122</v>
      </c>
      <c r="C59" s="221">
        <f t="shared" si="31"/>
        <v>1088.5655102525434</v>
      </c>
      <c r="D59" s="158">
        <f>'[1]TTM Orignal - With Levers'!C43</f>
        <v>1088.5655102525434</v>
      </c>
      <c r="E59" s="218">
        <v>0</v>
      </c>
      <c r="F59" s="214"/>
      <c r="G59" s="221">
        <f t="shared" si="32"/>
        <v>1051.1917573576654</v>
      </c>
      <c r="H59" s="158">
        <f>'[1]TTM Orignal - With Levers'!D43</f>
        <v>1051.1917573576654</v>
      </c>
      <c r="I59" s="218">
        <v>0</v>
      </c>
      <c r="J59" s="214"/>
      <c r="K59" s="450">
        <f t="shared" si="33"/>
        <v>1090.548666382894</v>
      </c>
      <c r="L59" s="443">
        <f>'[1]TTM Orignal - With Levers'!E43</f>
        <v>1009.7672836878648</v>
      </c>
      <c r="M59" s="444">
        <v>0.08</v>
      </c>
      <c r="N59" s="453"/>
      <c r="O59" s="453">
        <f>(O$8/$AZ$8)*$AZ59</f>
        <v>1063.8175897889587</v>
      </c>
      <c r="P59" s="443">
        <f>'[1]TTM Orignal - With Levers'!F43</f>
        <v>967.10689980814448</v>
      </c>
      <c r="Q59" s="444">
        <v>0.1</v>
      </c>
      <c r="R59" s="453"/>
      <c r="S59" s="450">
        <f t="shared" si="34"/>
        <v>988.60550778588026</v>
      </c>
      <c r="T59" s="443">
        <f>'[1]TTM Orignal - With Levers'!G43</f>
        <v>898.73227980534568</v>
      </c>
      <c r="U59" s="444">
        <v>0.1</v>
      </c>
      <c r="V59" s="453"/>
      <c r="W59" s="450">
        <f t="shared" si="35"/>
        <v>1041.6815285399737</v>
      </c>
      <c r="X59" s="443">
        <f>'[1]TTM Orignal - With Levers'!H43</f>
        <v>938.45182751348977</v>
      </c>
      <c r="Y59" s="444">
        <v>0.11</v>
      </c>
      <c r="Z59" s="453"/>
      <c r="AA59" s="450">
        <f t="shared" si="36"/>
        <v>1036.4195799566</v>
      </c>
      <c r="AB59" s="443">
        <f>'[1]TTM Orignal - With Levers'!I43</f>
        <v>959.64775921907415</v>
      </c>
      <c r="AC59" s="444">
        <v>0.08</v>
      </c>
      <c r="AD59" s="453"/>
      <c r="AE59" s="450">
        <f t="shared" si="37"/>
        <v>1140.7008142984776</v>
      </c>
      <c r="AF59" s="443">
        <f>'[1]TTM Orignal - With Levers'!J43</f>
        <v>983.36277094696334</v>
      </c>
      <c r="AG59" s="444">
        <v>0.16</v>
      </c>
      <c r="AH59" s="453"/>
      <c r="AI59" s="450">
        <f t="shared" si="38"/>
        <v>1199.7712072265113</v>
      </c>
      <c r="AJ59" s="443">
        <f>'[1]TTM Orignal - With Levers'!K43</f>
        <v>1016.7552603614503</v>
      </c>
      <c r="AK59" s="444">
        <v>0.18</v>
      </c>
      <c r="AL59" s="453"/>
      <c r="AM59" s="450">
        <f t="shared" si="39"/>
        <v>1312.8897008075242</v>
      </c>
      <c r="AN59" s="443">
        <f>'[1]TTM Orignal - With Levers'!L43</f>
        <v>1076.1390990225607</v>
      </c>
      <c r="AO59" s="444">
        <v>0.22</v>
      </c>
      <c r="AP59" s="453"/>
      <c r="AQ59" s="450">
        <f t="shared" si="40"/>
        <v>1352.5537113222258</v>
      </c>
      <c r="AR59" s="443">
        <f>'[1]TTM Orignal - With Levers'!M43</f>
        <v>1073.4553264462108</v>
      </c>
      <c r="AS59" s="444">
        <v>0.26</v>
      </c>
      <c r="AT59" s="453"/>
      <c r="AU59" s="450">
        <f t="shared" si="41"/>
        <v>1386.9186028601605</v>
      </c>
      <c r="AV59" s="158">
        <f>'[1]TTM Orignal - With Levers'!N43</f>
        <v>1066.8604637385849</v>
      </c>
      <c r="AW59" s="248">
        <v>0.3</v>
      </c>
      <c r="AX59" s="214"/>
      <c r="AY59" s="76"/>
      <c r="AZ59" s="292">
        <f>'[1]TTM Orignal - With Levers'!V43</f>
        <v>12130.036238159897</v>
      </c>
      <c r="BA59" s="319">
        <f t="shared" si="42"/>
        <v>13753.664176579414</v>
      </c>
      <c r="BB59" s="318">
        <f t="shared" si="43"/>
        <v>13753.664176579414</v>
      </c>
      <c r="BC59" s="317">
        <v>0</v>
      </c>
      <c r="BE59" s="208">
        <f t="shared" si="44"/>
        <v>13753.664176579414</v>
      </c>
      <c r="BF59" s="207">
        <f t="shared" si="45"/>
        <v>13753.664176579414</v>
      </c>
    </row>
    <row r="60" spans="1:64" x14ac:dyDescent="0.3">
      <c r="A60" s="175"/>
      <c r="B60" s="339" t="s">
        <v>123</v>
      </c>
      <c r="C60" s="338">
        <f>SUM(C54:C59)</f>
        <v>7515.8591403433047</v>
      </c>
      <c r="D60" s="338"/>
      <c r="E60" s="338"/>
      <c r="F60" s="338"/>
      <c r="G60" s="338">
        <f>SUM(G54:G59)</f>
        <v>7439.5094621293665</v>
      </c>
      <c r="H60" s="338"/>
      <c r="I60" s="338"/>
      <c r="J60" s="338"/>
      <c r="K60" s="338">
        <f>SUM(K54:K59)</f>
        <v>7423.9600170772219</v>
      </c>
      <c r="L60" s="338"/>
      <c r="M60" s="338"/>
      <c r="N60" s="338"/>
      <c r="O60" s="338">
        <f>SUM(O54:O59)</f>
        <v>7301.6443593796457</v>
      </c>
      <c r="P60" s="338"/>
      <c r="Q60" s="338"/>
      <c r="R60" s="338"/>
      <c r="S60" s="338">
        <f>SUM(S54:S59)</f>
        <v>6923.9755721765814</v>
      </c>
      <c r="T60" s="338"/>
      <c r="U60" s="338"/>
      <c r="V60" s="338"/>
      <c r="W60" s="338">
        <f>SUM(W54:W59)</f>
        <v>7063.911239320094</v>
      </c>
      <c r="X60" s="338"/>
      <c r="Y60" s="338"/>
      <c r="Z60" s="338"/>
      <c r="AA60" s="338">
        <f>SUM(AA54:AA59)</f>
        <v>7227.1108686211428</v>
      </c>
      <c r="AB60" s="338"/>
      <c r="AC60" s="338"/>
      <c r="AD60" s="338"/>
      <c r="AE60" s="338">
        <f>SUM(AE54:AE59)</f>
        <v>7740.5611195134152</v>
      </c>
      <c r="AF60" s="338"/>
      <c r="AG60" s="338"/>
      <c r="AH60" s="338"/>
      <c r="AI60" s="338">
        <f>SUM(AI54:AI59)</f>
        <v>8367.9834385345348</v>
      </c>
      <c r="AJ60" s="338"/>
      <c r="AK60" s="338"/>
      <c r="AL60" s="338"/>
      <c r="AM60" s="338">
        <f>SUM(AM54:AM59)</f>
        <v>8750.0779247226274</v>
      </c>
      <c r="AN60" s="338"/>
      <c r="AO60" s="338"/>
      <c r="AP60" s="338"/>
      <c r="AQ60" s="338">
        <f>SUM(AQ54:AQ59)</f>
        <v>9141.766139065825</v>
      </c>
      <c r="AR60" s="338"/>
      <c r="AS60" s="338"/>
      <c r="AT60" s="338"/>
      <c r="AU60" s="338">
        <f>SUM(AU54:AU59)</f>
        <v>9380.9912066112029</v>
      </c>
      <c r="AV60" s="338"/>
      <c r="AW60" s="338"/>
      <c r="AX60" s="338"/>
      <c r="AY60" s="337">
        <f>SUM(AY54:AY59)</f>
        <v>50160.279338573884</v>
      </c>
      <c r="AZ60" s="295">
        <f>SUM(AZ54:AZ59)</f>
        <v>84780.25327874659</v>
      </c>
      <c r="BA60" s="336">
        <f>SUM(BA54:BA59)</f>
        <v>94277.350487494972</v>
      </c>
      <c r="BB60" s="69">
        <f>SUM(BB54:BB59)</f>
        <v>94277.350487494972</v>
      </c>
      <c r="BC60" s="148"/>
      <c r="BE60" s="69">
        <f>SUM(BE54:BE59)</f>
        <v>94277.350487494972</v>
      </c>
      <c r="BF60" s="69">
        <f>SUM(BF54:BF59)</f>
        <v>94277.350487494972</v>
      </c>
    </row>
    <row r="62" spans="1:64" x14ac:dyDescent="0.3">
      <c r="A62" s="175"/>
      <c r="B62" s="335" t="s">
        <v>69</v>
      </c>
      <c r="C62" s="334">
        <f>SUM(C8-C60)</f>
        <v>7686.4108596566957</v>
      </c>
      <c r="D62" s="334"/>
      <c r="E62" s="334"/>
      <c r="F62" s="334"/>
      <c r="G62" s="334">
        <f>SUM(G8-G60)</f>
        <v>7240.8205378706334</v>
      </c>
      <c r="H62" s="334"/>
      <c r="I62" s="334"/>
      <c r="J62" s="334"/>
      <c r="K62" s="334">
        <f>SUM(K8-K60)</f>
        <v>7806.0055829227776</v>
      </c>
      <c r="L62" s="334"/>
      <c r="M62" s="334"/>
      <c r="N62" s="334"/>
      <c r="O62" s="334">
        <f>SUM(O8-O60)</f>
        <v>7555.0106406203531</v>
      </c>
      <c r="P62" s="334"/>
      <c r="Q62" s="334"/>
      <c r="R62" s="334"/>
      <c r="S62" s="334">
        <f>SUM(S8-S60)</f>
        <v>6882.3114278234189</v>
      </c>
      <c r="T62" s="334"/>
      <c r="U62" s="334"/>
      <c r="V62" s="334"/>
      <c r="W62" s="334">
        <f>SUM(W8-W60)</f>
        <v>7483.604460679906</v>
      </c>
      <c r="X62" s="334"/>
      <c r="Y62" s="334"/>
      <c r="Z62" s="334"/>
      <c r="AA62" s="334">
        <f>SUM(AA8-AA60)</f>
        <v>7246.9195313788568</v>
      </c>
      <c r="AB62" s="334"/>
      <c r="AC62" s="334"/>
      <c r="AD62" s="334"/>
      <c r="AE62" s="334">
        <f>SUM(AE8-AE60)</f>
        <v>8189.8000804865842</v>
      </c>
      <c r="AF62" s="334"/>
      <c r="AG62" s="334"/>
      <c r="AH62" s="334"/>
      <c r="AI62" s="334">
        <f>SUM(AI8-AI60)</f>
        <v>8387.3203614654667</v>
      </c>
      <c r="AJ62" s="334"/>
      <c r="AK62" s="334"/>
      <c r="AL62" s="334"/>
      <c r="AM62" s="334">
        <f>SUM(AM8-AM60)</f>
        <v>9584.9726752773713</v>
      </c>
      <c r="AN62" s="334"/>
      <c r="AO62" s="334"/>
      <c r="AP62" s="334"/>
      <c r="AQ62" s="334">
        <f>SUM(AQ8-AQ60)</f>
        <v>9747.2088609341736</v>
      </c>
      <c r="AR62" s="334"/>
      <c r="AS62" s="334"/>
      <c r="AT62" s="334"/>
      <c r="AU62" s="334">
        <f>SUM(AU8-AU60)</f>
        <v>9987.9037933887976</v>
      </c>
      <c r="AV62" s="334"/>
      <c r="AW62" s="334"/>
      <c r="AX62" s="334"/>
      <c r="AY62" s="333">
        <f>SUM(AY8-AY60)</f>
        <v>-50160.279338573884</v>
      </c>
      <c r="AZ62" s="296">
        <f>SUM(AZ8-AZ60)</f>
        <v>84620.74672125341</v>
      </c>
      <c r="BA62" s="332">
        <f>SUM(BA8-BA60)</f>
        <v>97798.288812505009</v>
      </c>
      <c r="BB62" s="83">
        <f>SUM(BB8-BB60)</f>
        <v>97798.288812505009</v>
      </c>
      <c r="BC62" s="149"/>
      <c r="BE62" s="83">
        <f>SUM(BE8-BE60)</f>
        <v>97798.288812505009</v>
      </c>
      <c r="BF62" s="83">
        <f>SUM(BF8-BF60)</f>
        <v>97798.288812505009</v>
      </c>
    </row>
    <row r="63" spans="1:64" x14ac:dyDescent="0.3">
      <c r="A63" s="175"/>
      <c r="B63" s="84" t="s">
        <v>70</v>
      </c>
      <c r="C63" s="85">
        <f>SUM(C8-C60)/C8</f>
        <v>0.50560941620275757</v>
      </c>
      <c r="D63" s="85"/>
      <c r="E63" s="85"/>
      <c r="F63" s="85"/>
      <c r="G63" s="85">
        <f>SUM(G8-G60)/G8</f>
        <v>0.49323281819077863</v>
      </c>
      <c r="H63" s="85"/>
      <c r="I63" s="85"/>
      <c r="J63" s="85"/>
      <c r="K63" s="85">
        <f>SUM(K8-K60)/K8</f>
        <v>0.51254256168003276</v>
      </c>
      <c r="L63" s="85"/>
      <c r="M63" s="85"/>
      <c r="N63" s="85"/>
      <c r="O63" s="85">
        <f>SUM(O8-O60)/O8</f>
        <v>0.50852702984759046</v>
      </c>
      <c r="P63" s="85"/>
      <c r="Q63" s="85"/>
      <c r="R63" s="85"/>
      <c r="S63" s="85">
        <f>SUM(S8-S60)/S8</f>
        <v>0.49849111696891557</v>
      </c>
      <c r="T63" s="85"/>
      <c r="U63" s="85"/>
      <c r="V63" s="85"/>
      <c r="W63" s="85">
        <f>SUM(W8-W60)/W8</f>
        <v>0.51442491041132932</v>
      </c>
      <c r="X63" s="85"/>
      <c r="Y63" s="85"/>
      <c r="Z63" s="85"/>
      <c r="AA63" s="85">
        <f>SUM(AA8-AA60)/AA8</f>
        <v>0.50068428289185141</v>
      </c>
      <c r="AB63" s="85"/>
      <c r="AC63" s="85"/>
      <c r="AD63" s="85"/>
      <c r="AE63" s="85">
        <f>SUM(AE8-AE60)/AE8</f>
        <v>0.51410008710201649</v>
      </c>
      <c r="AF63" s="85"/>
      <c r="AG63" s="85"/>
      <c r="AH63" s="85"/>
      <c r="AI63" s="85">
        <f>SUM(AI8-AI60)/AI8</f>
        <v>0.50057703886368599</v>
      </c>
      <c r="AJ63" s="85"/>
      <c r="AK63" s="85"/>
      <c r="AL63" s="85"/>
      <c r="AM63" s="85">
        <f>SUM(AM8-AM60)/AM8</f>
        <v>0.52276772420128315</v>
      </c>
      <c r="AN63" s="85"/>
      <c r="AO63" s="85"/>
      <c r="AP63" s="85"/>
      <c r="AQ63" s="85">
        <f>SUM(AQ8-AQ60)/AQ8</f>
        <v>0.51602635192932245</v>
      </c>
      <c r="AR63" s="85"/>
      <c r="AS63" s="85"/>
      <c r="AT63" s="85"/>
      <c r="AU63" s="85">
        <f>SUM(AU8-AU60)/AU8</f>
        <v>0.51566719698716923</v>
      </c>
      <c r="AV63" s="85"/>
      <c r="AW63" s="85"/>
      <c r="AX63" s="85"/>
      <c r="AY63" s="260" t="e">
        <f>SUM(AY8-AY60)/AY8</f>
        <v>#DIV/0!</v>
      </c>
      <c r="AZ63" s="298">
        <f>SUM(AZ8-AZ60)/AZ8</f>
        <v>0.49952920420336011</v>
      </c>
      <c r="BA63" s="323">
        <f>SUM(BA8-BA60)/BA8</f>
        <v>0.50916549942991662</v>
      </c>
      <c r="BB63" s="85">
        <f>SUM(BB8-BB60)/BB8</f>
        <v>0.50916549942991662</v>
      </c>
      <c r="BC63" s="149"/>
      <c r="BE63" s="85">
        <f>SUM(BE8-BE60)/BE8</f>
        <v>0.50916549942991662</v>
      </c>
      <c r="BF63" s="85">
        <f>SUM(BF8-BF60)/BF8</f>
        <v>0.50916549942991662</v>
      </c>
    </row>
    <row r="64" spans="1:64" ht="15" hidden="1" thickBot="1" x14ac:dyDescent="0.35">
      <c r="A64" s="175"/>
      <c r="B64" s="331" t="s">
        <v>159</v>
      </c>
      <c r="C64" s="327">
        <f t="shared" ref="C64:AH64" si="46">C95/((C8/C51)-(C60/C51))</f>
        <v>348.12464552766392</v>
      </c>
      <c r="D64" s="327">
        <f t="shared" si="46"/>
        <v>0</v>
      </c>
      <c r="E64" s="327" t="e">
        <f t="shared" si="46"/>
        <v>#DIV/0!</v>
      </c>
      <c r="F64" s="327" t="e">
        <f t="shared" si="46"/>
        <v>#DIV/0!</v>
      </c>
      <c r="G64" s="327">
        <f t="shared" si="46"/>
        <v>308.45479118650576</v>
      </c>
      <c r="H64" s="327">
        <f t="shared" si="46"/>
        <v>0</v>
      </c>
      <c r="I64" s="327" t="e">
        <f t="shared" si="46"/>
        <v>#DIV/0!</v>
      </c>
      <c r="J64" s="327" t="e">
        <f t="shared" si="46"/>
        <v>#DIV/0!</v>
      </c>
      <c r="K64" s="327">
        <f t="shared" si="46"/>
        <v>350.22972578110375</v>
      </c>
      <c r="L64" s="327">
        <f t="shared" si="46"/>
        <v>0</v>
      </c>
      <c r="M64" s="327">
        <f t="shared" si="46"/>
        <v>0</v>
      </c>
      <c r="N64" s="327" t="e">
        <f t="shared" si="46"/>
        <v>#DIV/0!</v>
      </c>
      <c r="O64" s="327">
        <f t="shared" si="46"/>
        <v>306.27704516936757</v>
      </c>
      <c r="P64" s="327">
        <f t="shared" si="46"/>
        <v>0</v>
      </c>
      <c r="Q64" s="327">
        <f t="shared" si="46"/>
        <v>0</v>
      </c>
      <c r="R64" s="327" t="e">
        <f t="shared" si="46"/>
        <v>#DIV/0!</v>
      </c>
      <c r="S64" s="327">
        <f t="shared" si="46"/>
        <v>292.06411924251921</v>
      </c>
      <c r="T64" s="327">
        <f t="shared" si="46"/>
        <v>0</v>
      </c>
      <c r="U64" s="327">
        <f t="shared" si="46"/>
        <v>0</v>
      </c>
      <c r="V64" s="327" t="e">
        <f t="shared" si="46"/>
        <v>#DIV/0!</v>
      </c>
      <c r="W64" s="327">
        <f t="shared" si="46"/>
        <v>349.93765168920828</v>
      </c>
      <c r="X64" s="327">
        <f t="shared" si="46"/>
        <v>0</v>
      </c>
      <c r="Y64" s="327">
        <f t="shared" si="46"/>
        <v>0</v>
      </c>
      <c r="Z64" s="327" t="e">
        <f t="shared" si="46"/>
        <v>#DIV/0!</v>
      </c>
      <c r="AA64" s="327">
        <f t="shared" si="46"/>
        <v>318.90795826915468</v>
      </c>
      <c r="AB64" s="327">
        <f t="shared" si="46"/>
        <v>0</v>
      </c>
      <c r="AC64" s="327">
        <f t="shared" si="46"/>
        <v>0</v>
      </c>
      <c r="AD64" s="327" t="e">
        <f t="shared" si="46"/>
        <v>#DIV/0!</v>
      </c>
      <c r="AE64" s="327">
        <f t="shared" si="46"/>
        <v>332.22560885111113</v>
      </c>
      <c r="AF64" s="327">
        <f t="shared" si="46"/>
        <v>0</v>
      </c>
      <c r="AG64" s="327">
        <f t="shared" si="46"/>
        <v>0</v>
      </c>
      <c r="AH64" s="327" t="e">
        <f t="shared" si="46"/>
        <v>#DIV/0!</v>
      </c>
      <c r="AI64" s="327">
        <f t="shared" ref="AI64:BB64" si="47">AI95/((AI8/AI51)-(AI60/AI51))</f>
        <v>376.32928889111469</v>
      </c>
      <c r="AJ64" s="327">
        <f t="shared" si="47"/>
        <v>0</v>
      </c>
      <c r="AK64" s="327">
        <f t="shared" si="47"/>
        <v>0</v>
      </c>
      <c r="AL64" s="327" t="e">
        <f t="shared" si="47"/>
        <v>#DIV/0!</v>
      </c>
      <c r="AM64" s="327">
        <f t="shared" si="47"/>
        <v>400.24052827899033</v>
      </c>
      <c r="AN64" s="327">
        <f t="shared" si="47"/>
        <v>0</v>
      </c>
      <c r="AO64" s="327">
        <f t="shared" si="47"/>
        <v>0</v>
      </c>
      <c r="AP64" s="327" t="e">
        <f t="shared" si="47"/>
        <v>#DIV/0!</v>
      </c>
      <c r="AQ64" s="327">
        <f t="shared" si="47"/>
        <v>388.05143095549147</v>
      </c>
      <c r="AR64" s="327">
        <f t="shared" si="47"/>
        <v>0</v>
      </c>
      <c r="AS64" s="327">
        <f t="shared" si="47"/>
        <v>0</v>
      </c>
      <c r="AT64" s="327" t="e">
        <f t="shared" si="47"/>
        <v>#DIV/0!</v>
      </c>
      <c r="AU64" s="327">
        <f t="shared" si="47"/>
        <v>334.87383062195346</v>
      </c>
      <c r="AV64" s="327">
        <f t="shared" si="47"/>
        <v>0</v>
      </c>
      <c r="AW64" s="327">
        <f t="shared" si="47"/>
        <v>0</v>
      </c>
      <c r="AX64" s="327" t="e">
        <f t="shared" si="47"/>
        <v>#DIV/0!</v>
      </c>
      <c r="AY64" s="330" t="e">
        <f t="shared" si="47"/>
        <v>#DIV/0!</v>
      </c>
      <c r="AZ64" s="329">
        <f t="shared" si="47"/>
        <v>472.36721399557865</v>
      </c>
      <c r="BA64" s="328">
        <f t="shared" si="47"/>
        <v>413.52607357453905</v>
      </c>
      <c r="BB64" s="327">
        <f t="shared" si="47"/>
        <v>413.52607357453905</v>
      </c>
      <c r="BC64" s="149"/>
      <c r="BE64" s="327">
        <f>BE95/((BE8/BE51)-(BE60/BE51))</f>
        <v>413.52607357453905</v>
      </c>
      <c r="BF64" s="327">
        <f>BF95/((BF8/BF51)-(BF60/BF51))</f>
        <v>413.52607357453905</v>
      </c>
    </row>
    <row r="65" spans="1:58" ht="15" thickBot="1" x14ac:dyDescent="0.35">
      <c r="A65" s="175"/>
      <c r="B65" s="47"/>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C65" s="149"/>
    </row>
    <row r="66" spans="1:58" x14ac:dyDescent="0.3">
      <c r="A66" s="175"/>
      <c r="B66" s="127" t="s">
        <v>124</v>
      </c>
      <c r="C66" s="164">
        <f>SUM(C21,C33,C45,C60)</f>
        <v>86599.792823759621</v>
      </c>
      <c r="D66" s="164"/>
      <c r="E66" s="164"/>
      <c r="F66" s="164"/>
      <c r="G66" s="164">
        <f>SUM(G21,G33,G45,G60)</f>
        <v>77374.295967738042</v>
      </c>
      <c r="H66" s="164"/>
      <c r="I66" s="164"/>
      <c r="J66" s="164"/>
      <c r="K66" s="164">
        <f>SUM(K21,K33,K45,K60)</f>
        <v>66886.398961241648</v>
      </c>
      <c r="L66" s="164"/>
      <c r="M66" s="164"/>
      <c r="N66" s="164"/>
      <c r="O66" s="164">
        <f>SUM(O21,O33,O45,O60)</f>
        <v>61445.898165374521</v>
      </c>
      <c r="P66" s="164"/>
      <c r="Q66" s="164"/>
      <c r="R66" s="164"/>
      <c r="S66" s="164">
        <f>SUM(S21,S33,S45,S60)</f>
        <v>49050.418172542362</v>
      </c>
      <c r="T66" s="164"/>
      <c r="U66" s="164"/>
      <c r="V66" s="164"/>
      <c r="W66" s="164">
        <f>SUM(W21,W33,W45,W60)</f>
        <v>55307.121010567818</v>
      </c>
      <c r="X66" s="164"/>
      <c r="Y66" s="164"/>
      <c r="Z66" s="164"/>
      <c r="AA66" s="164">
        <f>SUM(AA21,AA33,AA45,AA60)</f>
        <v>55110.832342771122</v>
      </c>
      <c r="AB66" s="164"/>
      <c r="AC66" s="164"/>
      <c r="AD66" s="164"/>
      <c r="AE66" s="164">
        <f>SUM(AE21,AE33,AE45,AE60)</f>
        <v>65574.068972825698</v>
      </c>
      <c r="AF66" s="164"/>
      <c r="AG66" s="164"/>
      <c r="AH66" s="164"/>
      <c r="AI66" s="164">
        <f>SUM(AI21,AI33,AI45,AI60)</f>
        <v>76753.136467586635</v>
      </c>
      <c r="AJ66" s="164"/>
      <c r="AK66" s="164"/>
      <c r="AL66" s="164"/>
      <c r="AM66" s="164">
        <f>SUM(AM21,AM33,AM45,AM60)</f>
        <v>105850.02758501159</v>
      </c>
      <c r="AN66" s="164"/>
      <c r="AO66" s="164"/>
      <c r="AP66" s="164"/>
      <c r="AQ66" s="164">
        <f>SUM(AQ21,AQ33,AQ45,AQ60)</f>
        <v>100134.72056051579</v>
      </c>
      <c r="AR66" s="164"/>
      <c r="AS66" s="164"/>
      <c r="AT66" s="164"/>
      <c r="AU66" s="164">
        <f>SUM(AU21,AU33,AU45,AU60)</f>
        <v>95619.109512080846</v>
      </c>
      <c r="AV66" s="164"/>
      <c r="AW66" s="164"/>
      <c r="AX66" s="164"/>
      <c r="AY66" s="263">
        <f>SUM(AY21,AY33,AY45,AY60)</f>
        <v>899406.80647610046</v>
      </c>
      <c r="AZ66" s="326">
        <f>SUM(AZ21,AZ33,AZ45,AZ60)</f>
        <v>830497.36171354703</v>
      </c>
      <c r="BA66" s="325">
        <f>SUM(BA21,BA33,BA45,BA60)</f>
        <v>895705.82054201572</v>
      </c>
      <c r="BB66" s="164">
        <f>SUM(BB21,BB33,BB45,BB60)</f>
        <v>895705.82054201572</v>
      </c>
      <c r="BC66" s="149"/>
      <c r="BE66" s="164">
        <f>SUM(BE21,BE33,BE45,BE60)</f>
        <v>895705.82054201572</v>
      </c>
      <c r="BF66" s="164">
        <f>SUM(BF21,BF33,BF45,BF60)</f>
        <v>895705.82054201572</v>
      </c>
    </row>
    <row r="67" spans="1:58" x14ac:dyDescent="0.3">
      <c r="A67" s="175"/>
      <c r="B67" s="132" t="s">
        <v>125</v>
      </c>
      <c r="C67" s="165">
        <f>SUM(C9-C66)</f>
        <v>38338.477176240383</v>
      </c>
      <c r="D67" s="165"/>
      <c r="E67" s="165"/>
      <c r="F67" s="165"/>
      <c r="G67" s="165">
        <f>SUM(G9-G66)</f>
        <v>35518.03403226196</v>
      </c>
      <c r="H67" s="165"/>
      <c r="I67" s="165"/>
      <c r="J67" s="165"/>
      <c r="K67" s="165">
        <f>SUM(K9-K66)</f>
        <v>33139.566638758348</v>
      </c>
      <c r="L67" s="165"/>
      <c r="M67" s="165"/>
      <c r="N67" s="165"/>
      <c r="O67" s="165">
        <f>SUM(O9-O66)</f>
        <v>31485.656834625486</v>
      </c>
      <c r="P67" s="165"/>
      <c r="Q67" s="165"/>
      <c r="R67" s="165"/>
      <c r="S67" s="165">
        <f>SUM(S9-S66)</f>
        <v>26042.408827457642</v>
      </c>
      <c r="T67" s="165"/>
      <c r="U67" s="165"/>
      <c r="V67" s="165"/>
      <c r="W67" s="165">
        <f>SUM(W9-W66)</f>
        <v>30184.754689432186</v>
      </c>
      <c r="X67" s="165"/>
      <c r="Y67" s="165"/>
      <c r="Z67" s="165"/>
      <c r="AA67" s="165">
        <f>SUM(AA9-AA66)</f>
        <v>28321.838057228881</v>
      </c>
      <c r="AB67" s="165"/>
      <c r="AC67" s="165"/>
      <c r="AD67" s="165"/>
      <c r="AE67" s="165">
        <f>SUM(AE9-AE66)</f>
        <v>37260.665427174303</v>
      </c>
      <c r="AF67" s="165"/>
      <c r="AG67" s="165"/>
      <c r="AH67" s="165"/>
      <c r="AI67" s="165">
        <f>SUM(AI9-AI66)</f>
        <v>40189.017732413355</v>
      </c>
      <c r="AJ67" s="165"/>
      <c r="AK67" s="165"/>
      <c r="AL67" s="165"/>
      <c r="AM67" s="165">
        <f>SUM(AM9-AM66)</f>
        <v>57374.536614988407</v>
      </c>
      <c r="AN67" s="165"/>
      <c r="AO67" s="165"/>
      <c r="AP67" s="165"/>
      <c r="AQ67" s="165">
        <f>SUM(AQ9-AQ66)</f>
        <v>49502.656839484203</v>
      </c>
      <c r="AR67" s="165"/>
      <c r="AS67" s="165"/>
      <c r="AT67" s="165"/>
      <c r="AU67" s="165">
        <f>SUM(AU9-AU66)</f>
        <v>46849.036332919175</v>
      </c>
      <c r="AV67" s="165"/>
      <c r="AW67" s="165"/>
      <c r="AX67" s="165"/>
      <c r="AY67" s="264">
        <f>SUM(AY9-AY66)</f>
        <v>-899406.80647610046</v>
      </c>
      <c r="AZ67" s="301">
        <f>SUM(AZ9-AZ66)</f>
        <v>379502.7782864531</v>
      </c>
      <c r="BA67" s="324">
        <f>SUM(BA9-BA66)</f>
        <v>454206.64920298394</v>
      </c>
      <c r="BB67" s="165">
        <f>SUM(BB9-BB66)</f>
        <v>454206.64920298394</v>
      </c>
      <c r="BC67" s="149"/>
      <c r="BE67" s="165">
        <f>SUM(BE9-BE66)</f>
        <v>454206.64920298394</v>
      </c>
      <c r="BF67" s="165">
        <f>SUM(BF9-BF66)</f>
        <v>454206.64920298394</v>
      </c>
    </row>
    <row r="68" spans="1:58" ht="15" thickBot="1" x14ac:dyDescent="0.35">
      <c r="A68" s="175"/>
      <c r="B68" s="130" t="s">
        <v>126</v>
      </c>
      <c r="C68" s="133">
        <f>C67/C9</f>
        <v>0.30685935683470228</v>
      </c>
      <c r="D68" s="133"/>
      <c r="E68" s="133"/>
      <c r="F68" s="133"/>
      <c r="G68" s="133">
        <f>G67/G9</f>
        <v>0.31461866392749588</v>
      </c>
      <c r="H68" s="133"/>
      <c r="I68" s="133"/>
      <c r="J68" s="133"/>
      <c r="K68" s="133">
        <f>K67/K9</f>
        <v>0.33130963985173817</v>
      </c>
      <c r="L68" s="133"/>
      <c r="M68" s="133"/>
      <c r="N68" s="133"/>
      <c r="O68" s="133">
        <f>O67/O9</f>
        <v>0.33880479923773454</v>
      </c>
      <c r="P68" s="133"/>
      <c r="Q68" s="133"/>
      <c r="R68" s="133"/>
      <c r="S68" s="133">
        <f>S67/S9</f>
        <v>0.34680288208429871</v>
      </c>
      <c r="T68" s="133"/>
      <c r="U68" s="133"/>
      <c r="V68" s="133"/>
      <c r="W68" s="133">
        <f>W67/W9</f>
        <v>0.35307161577965218</v>
      </c>
      <c r="X68" s="133"/>
      <c r="Y68" s="133"/>
      <c r="Z68" s="133"/>
      <c r="AA68" s="133">
        <f>AA67/AA9</f>
        <v>0.33945740824842252</v>
      </c>
      <c r="AB68" s="133"/>
      <c r="AC68" s="133"/>
      <c r="AD68" s="133"/>
      <c r="AE68" s="133">
        <f>AE67/AE9</f>
        <v>0.36233540782280954</v>
      </c>
      <c r="AF68" s="133"/>
      <c r="AG68" s="133"/>
      <c r="AH68" s="133"/>
      <c r="AI68" s="133">
        <f>AI67/AI9</f>
        <v>0.34366578935838826</v>
      </c>
      <c r="AJ68" s="133"/>
      <c r="AK68" s="133"/>
      <c r="AL68" s="133"/>
      <c r="AM68" s="133">
        <f>AM67/AM9</f>
        <v>0.35150675326470504</v>
      </c>
      <c r="AN68" s="133"/>
      <c r="AO68" s="133"/>
      <c r="AP68" s="133"/>
      <c r="AQ68" s="133">
        <f>AQ67/AQ9</f>
        <v>0.33081745817528746</v>
      </c>
      <c r="AR68" s="133"/>
      <c r="AS68" s="133"/>
      <c r="AT68" s="133"/>
      <c r="AU68" s="133">
        <f>AU67/AU9</f>
        <v>0.32883867516524828</v>
      </c>
      <c r="AV68" s="133"/>
      <c r="AW68" s="133"/>
      <c r="AX68" s="133"/>
      <c r="AY68" s="265" t="e">
        <f>AY67/AY9</f>
        <v>#DIV/0!</v>
      </c>
      <c r="AZ68" s="297">
        <f>AZ67/AZ9</f>
        <v>0.31363862345210397</v>
      </c>
      <c r="BA68" s="323">
        <f>BA67/BA9</f>
        <v>0.336471185638269</v>
      </c>
      <c r="BB68" s="133">
        <f>BB67/BB9</f>
        <v>0.336471185638269</v>
      </c>
      <c r="BC68" s="149"/>
      <c r="BE68" s="133">
        <f>BE67/BE9</f>
        <v>0.336471185638269</v>
      </c>
      <c r="BF68" s="133">
        <f>BF67/BF9</f>
        <v>0.336471185638269</v>
      </c>
    </row>
    <row r="69" spans="1:58" x14ac:dyDescent="0.3">
      <c r="A69" s="175"/>
      <c r="B69" s="47"/>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4"/>
      <c r="BA69" s="24"/>
      <c r="BC69" s="146"/>
    </row>
    <row r="70" spans="1:58" ht="15" thickBot="1" x14ac:dyDescent="0.35">
      <c r="A70" s="176"/>
      <c r="B70" s="65" t="s">
        <v>71</v>
      </c>
      <c r="C70" s="9"/>
      <c r="D70" s="9"/>
      <c r="E70" s="9"/>
      <c r="F70" s="9"/>
      <c r="G70" s="5"/>
      <c r="H70" s="9"/>
      <c r="I70" s="9"/>
      <c r="J70" s="9"/>
      <c r="K70" s="5"/>
      <c r="L70" s="5"/>
      <c r="M70" s="9"/>
      <c r="N70" s="9"/>
      <c r="O70" s="5"/>
      <c r="P70" s="5"/>
      <c r="Q70" s="9"/>
      <c r="R70" s="9"/>
      <c r="S70" s="5"/>
      <c r="T70" s="5"/>
      <c r="U70" s="9"/>
      <c r="V70" s="9"/>
      <c r="W70" s="6"/>
      <c r="X70" s="6"/>
      <c r="Y70" s="9"/>
      <c r="Z70" s="9"/>
      <c r="AA70" s="6"/>
      <c r="AB70" s="6"/>
      <c r="AC70" s="9"/>
      <c r="AD70" s="9"/>
      <c r="AE70" s="6"/>
      <c r="AF70" s="6"/>
      <c r="AG70" s="9"/>
      <c r="AH70" s="9"/>
      <c r="AI70" s="6"/>
      <c r="AJ70" s="6"/>
      <c r="AK70" s="9"/>
      <c r="AL70" s="9"/>
      <c r="AM70" s="6"/>
      <c r="AN70" s="6"/>
      <c r="AO70" s="9"/>
      <c r="AP70" s="9"/>
      <c r="AQ70" s="6"/>
      <c r="AR70" s="6"/>
      <c r="AS70" s="9"/>
      <c r="AT70" s="9"/>
      <c r="AU70" s="6"/>
      <c r="AV70" s="6"/>
      <c r="AW70" s="9"/>
      <c r="AX70" s="9"/>
      <c r="AY70" s="6"/>
      <c r="AZ70" s="8"/>
      <c r="BA70" s="8"/>
      <c r="BC70" s="195"/>
    </row>
    <row r="71" spans="1:58" x14ac:dyDescent="0.3">
      <c r="A71" s="176">
        <v>6110</v>
      </c>
      <c r="B71" s="86" t="s">
        <v>72</v>
      </c>
      <c r="C71" s="221">
        <f t="shared" ref="C71:C88" si="48">D71+(D71*E71)</f>
        <v>3667</v>
      </c>
      <c r="D71" s="158">
        <f>'[1]TTM Orignal - With Levers'!C53</f>
        <v>3667</v>
      </c>
      <c r="E71" s="219">
        <v>0</v>
      </c>
      <c r="F71" s="87"/>
      <c r="G71" s="221">
        <f t="shared" ref="G71:G88" si="49">H71+(H71*I71)</f>
        <v>3667</v>
      </c>
      <c r="H71" s="158">
        <f>'[1]TTM Orignal - With Levers'!D53</f>
        <v>3667</v>
      </c>
      <c r="I71" s="219">
        <v>0</v>
      </c>
      <c r="J71" s="87"/>
      <c r="K71" s="221">
        <f t="shared" ref="K71:K88" si="50">L71+(L71*M71)</f>
        <v>3667</v>
      </c>
      <c r="L71" s="158">
        <f>'[1]TTM Orignal - With Levers'!E53</f>
        <v>3667</v>
      </c>
      <c r="M71" s="219">
        <v>0</v>
      </c>
      <c r="N71" s="87"/>
      <c r="O71" s="221">
        <f t="shared" ref="O71:O87" si="51">P71+(P71*Q71)</f>
        <v>3667</v>
      </c>
      <c r="P71" s="158">
        <f>'[1]TTM Orignal - With Levers'!F53</f>
        <v>3667</v>
      </c>
      <c r="Q71" s="219">
        <v>0</v>
      </c>
      <c r="R71" s="87"/>
      <c r="S71" s="221">
        <f t="shared" ref="S71:S88" si="52">T71+(T71*U71)</f>
        <v>3667</v>
      </c>
      <c r="T71" s="158">
        <f>'[1]TTM Orignal - With Levers'!G53</f>
        <v>3667</v>
      </c>
      <c r="U71" s="219">
        <v>0</v>
      </c>
      <c r="V71" s="87"/>
      <c r="W71" s="221">
        <f t="shared" ref="W71:W88" si="53">X71+(X71*Y71)</f>
        <v>3667</v>
      </c>
      <c r="X71" s="158">
        <f>'[1]TTM Orignal - With Levers'!H53</f>
        <v>3667</v>
      </c>
      <c r="Y71" s="219">
        <v>0</v>
      </c>
      <c r="Z71" s="87"/>
      <c r="AA71" s="221">
        <f t="shared" ref="AA71:AA88" si="54">AB71+(AB71*AC71)</f>
        <v>3667</v>
      </c>
      <c r="AB71" s="158">
        <f>'[1]TTM Orignal - With Levers'!I53</f>
        <v>3667</v>
      </c>
      <c r="AC71" s="219">
        <v>0</v>
      </c>
      <c r="AD71" s="87"/>
      <c r="AE71" s="221">
        <f t="shared" ref="AE71:AE88" si="55">AF71+(AF71*AG71)</f>
        <v>3667</v>
      </c>
      <c r="AF71" s="158">
        <f>'[1]TTM Orignal - With Levers'!J53</f>
        <v>3667</v>
      </c>
      <c r="AG71" s="219">
        <v>0</v>
      </c>
      <c r="AH71" s="87"/>
      <c r="AI71" s="221">
        <f t="shared" ref="AI71:AI88" si="56">AJ71+(AJ71*AK71)</f>
        <v>3667</v>
      </c>
      <c r="AJ71" s="158">
        <f>'[1]TTM Orignal - With Levers'!K53</f>
        <v>3667</v>
      </c>
      <c r="AK71" s="219">
        <v>0</v>
      </c>
      <c r="AL71" s="87"/>
      <c r="AM71" s="221">
        <f t="shared" ref="AM71:AM88" si="57">AN71+(AN71*AO71)</f>
        <v>3667</v>
      </c>
      <c r="AN71" s="158">
        <f>'[1]TTM Orignal - With Levers'!L53</f>
        <v>3667</v>
      </c>
      <c r="AO71" s="219">
        <v>0</v>
      </c>
      <c r="AP71" s="87"/>
      <c r="AQ71" s="221">
        <f t="shared" ref="AQ71:AQ88" si="58">AR71+(AR71*AS71)</f>
        <v>3667</v>
      </c>
      <c r="AR71" s="158">
        <f>'[1]TTM Orignal - With Levers'!M53</f>
        <v>3667</v>
      </c>
      <c r="AS71" s="219">
        <v>0</v>
      </c>
      <c r="AT71" s="87"/>
      <c r="AU71" s="221">
        <f t="shared" ref="AU71:AU88" si="59">AV71+(AV71*AW71)</f>
        <v>3667</v>
      </c>
      <c r="AV71" s="158">
        <f>'[1]TTM Orignal - With Levers'!N53</f>
        <v>3667</v>
      </c>
      <c r="AW71" s="219">
        <v>0</v>
      </c>
      <c r="AX71" s="87"/>
      <c r="AY71" s="76">
        <f t="shared" ref="AY71:AY80" si="60">SUM(C71:AU71)</f>
        <v>84341</v>
      </c>
      <c r="AZ71" s="291">
        <f>'[1]TTM Orignal - With Levers'!V53</f>
        <v>44004</v>
      </c>
      <c r="BA71" s="319">
        <f t="shared" ref="BA71:BA88" si="61">SUM(C71,G71,K71,O71,S71,W71,AA71,AE71,AI71,AM71,AQ71,AU71)</f>
        <v>44004</v>
      </c>
      <c r="BB71" s="318">
        <f t="shared" ref="BB71:BB88" si="62">BE71</f>
        <v>44004</v>
      </c>
      <c r="BC71" s="317">
        <v>0</v>
      </c>
      <c r="BE71" s="208">
        <f t="shared" ref="BE71:BE88" si="63">(BA71+(BA71*BC71))</f>
        <v>44004</v>
      </c>
      <c r="BF71" s="207">
        <f t="shared" ref="BF71:BF88" si="64">BA71</f>
        <v>44004</v>
      </c>
    </row>
    <row r="72" spans="1:58" x14ac:dyDescent="0.3">
      <c r="A72" s="178">
        <v>6120</v>
      </c>
      <c r="B72" s="90" t="s">
        <v>73</v>
      </c>
      <c r="C72" s="221">
        <f t="shared" si="48"/>
        <v>910</v>
      </c>
      <c r="D72" s="158">
        <f>'[1]TTM Orignal - With Levers'!C54</f>
        <v>910</v>
      </c>
      <c r="E72" s="219">
        <v>0</v>
      </c>
      <c r="F72" s="77"/>
      <c r="G72" s="221">
        <f t="shared" si="49"/>
        <v>280</v>
      </c>
      <c r="H72" s="158">
        <f>'[1]TTM Orignal - With Levers'!D54</f>
        <v>280</v>
      </c>
      <c r="I72" s="219">
        <v>0</v>
      </c>
      <c r="J72" s="77"/>
      <c r="K72" s="221">
        <f t="shared" si="50"/>
        <v>560</v>
      </c>
      <c r="L72" s="158">
        <f>'[1]TTM Orignal - With Levers'!E54</f>
        <v>560</v>
      </c>
      <c r="M72" s="219">
        <v>0</v>
      </c>
      <c r="N72" s="77"/>
      <c r="O72" s="221">
        <f t="shared" si="51"/>
        <v>350</v>
      </c>
      <c r="P72" s="158">
        <f>'[1]TTM Orignal - With Levers'!F54</f>
        <v>350</v>
      </c>
      <c r="Q72" s="219">
        <v>0</v>
      </c>
      <c r="R72" s="77"/>
      <c r="S72" s="221">
        <f t="shared" si="52"/>
        <v>280</v>
      </c>
      <c r="T72" s="158">
        <f>'[1]TTM Orignal - With Levers'!G54</f>
        <v>280</v>
      </c>
      <c r="U72" s="219">
        <v>0</v>
      </c>
      <c r="V72" s="77"/>
      <c r="W72" s="221">
        <f t="shared" si="53"/>
        <v>350</v>
      </c>
      <c r="X72" s="158">
        <f>'[1]TTM Orignal - With Levers'!H54</f>
        <v>350</v>
      </c>
      <c r="Y72" s="219">
        <v>0</v>
      </c>
      <c r="Z72" s="77"/>
      <c r="AA72" s="221">
        <f t="shared" si="54"/>
        <v>490</v>
      </c>
      <c r="AB72" s="158">
        <f>'[1]TTM Orignal - With Levers'!I54</f>
        <v>490</v>
      </c>
      <c r="AC72" s="219">
        <v>0</v>
      </c>
      <c r="AD72" s="77"/>
      <c r="AE72" s="221">
        <f t="shared" si="55"/>
        <v>700</v>
      </c>
      <c r="AF72" s="158">
        <f>'[1]TTM Orignal - With Levers'!J54</f>
        <v>700</v>
      </c>
      <c r="AG72" s="219">
        <v>0</v>
      </c>
      <c r="AH72" s="77"/>
      <c r="AI72" s="221">
        <f t="shared" si="56"/>
        <v>420</v>
      </c>
      <c r="AJ72" s="158">
        <f>'[1]TTM Orignal - With Levers'!K54</f>
        <v>420</v>
      </c>
      <c r="AK72" s="219">
        <v>0</v>
      </c>
      <c r="AL72" s="77"/>
      <c r="AM72" s="221">
        <f t="shared" si="57"/>
        <v>1190</v>
      </c>
      <c r="AN72" s="158">
        <f>'[1]TTM Orignal - With Levers'!L54</f>
        <v>1190</v>
      </c>
      <c r="AO72" s="219">
        <v>0</v>
      </c>
      <c r="AP72" s="77"/>
      <c r="AQ72" s="221">
        <f t="shared" si="58"/>
        <v>1120</v>
      </c>
      <c r="AR72" s="158">
        <f>'[1]TTM Orignal - With Levers'!M54</f>
        <v>1120</v>
      </c>
      <c r="AS72" s="219">
        <v>0</v>
      </c>
      <c r="AT72" s="77"/>
      <c r="AU72" s="221">
        <f t="shared" si="59"/>
        <v>350</v>
      </c>
      <c r="AV72" s="158">
        <f>'[1]TTM Orignal - With Levers'!N54</f>
        <v>350</v>
      </c>
      <c r="AW72" s="219">
        <v>0</v>
      </c>
      <c r="AX72" s="77"/>
      <c r="AY72" s="76">
        <f t="shared" si="60"/>
        <v>13650</v>
      </c>
      <c r="AZ72" s="292">
        <f>'[1]TTM Orignal - With Levers'!V54</f>
        <v>7000</v>
      </c>
      <c r="BA72" s="319">
        <f t="shared" si="61"/>
        <v>7000</v>
      </c>
      <c r="BB72" s="318">
        <f t="shared" si="62"/>
        <v>7000</v>
      </c>
      <c r="BC72" s="317">
        <v>0</v>
      </c>
      <c r="BE72" s="208">
        <f t="shared" si="63"/>
        <v>7000</v>
      </c>
      <c r="BF72" s="207">
        <f t="shared" si="64"/>
        <v>7000</v>
      </c>
    </row>
    <row r="73" spans="1:58" x14ac:dyDescent="0.3">
      <c r="A73" s="176">
        <v>6130</v>
      </c>
      <c r="B73" s="91" t="s">
        <v>74</v>
      </c>
      <c r="C73" s="221">
        <f t="shared" si="48"/>
        <v>120</v>
      </c>
      <c r="D73" s="158">
        <f>'[1]TTM Orignal - With Levers'!C55</f>
        <v>120</v>
      </c>
      <c r="E73" s="219">
        <v>0</v>
      </c>
      <c r="F73" s="88"/>
      <c r="G73" s="221">
        <f t="shared" si="49"/>
        <v>160</v>
      </c>
      <c r="H73" s="158">
        <f>'[1]TTM Orignal - With Levers'!D55</f>
        <v>160</v>
      </c>
      <c r="I73" s="219">
        <v>0</v>
      </c>
      <c r="J73" s="88"/>
      <c r="K73" s="221">
        <f t="shared" si="50"/>
        <v>230</v>
      </c>
      <c r="L73" s="158">
        <f>'[1]TTM Orignal - With Levers'!E55</f>
        <v>230</v>
      </c>
      <c r="M73" s="219">
        <v>0</v>
      </c>
      <c r="N73" s="88"/>
      <c r="O73" s="221">
        <f t="shared" si="51"/>
        <v>270</v>
      </c>
      <c r="P73" s="158">
        <f>'[1]TTM Orignal - With Levers'!F55</f>
        <v>270</v>
      </c>
      <c r="Q73" s="219">
        <v>0</v>
      </c>
      <c r="R73" s="88"/>
      <c r="S73" s="221">
        <f t="shared" si="52"/>
        <v>290</v>
      </c>
      <c r="T73" s="158">
        <f>'[1]TTM Orignal - With Levers'!G55</f>
        <v>290</v>
      </c>
      <c r="U73" s="219">
        <v>0</v>
      </c>
      <c r="V73" s="88"/>
      <c r="W73" s="221">
        <f t="shared" si="53"/>
        <v>350</v>
      </c>
      <c r="X73" s="158">
        <f>'[1]TTM Orignal - With Levers'!H55</f>
        <v>350</v>
      </c>
      <c r="Y73" s="219">
        <v>0</v>
      </c>
      <c r="Z73" s="88"/>
      <c r="AA73" s="221">
        <f t="shared" si="54"/>
        <v>470</v>
      </c>
      <c r="AB73" s="158">
        <f>'[1]TTM Orignal - With Levers'!I55</f>
        <v>470</v>
      </c>
      <c r="AC73" s="219">
        <v>0</v>
      </c>
      <c r="AD73" s="88"/>
      <c r="AE73" s="450">
        <f t="shared" si="55"/>
        <v>1050</v>
      </c>
      <c r="AF73" s="443">
        <f>'[1]TTM Orignal - With Levers'!J55</f>
        <v>750</v>
      </c>
      <c r="AG73" s="454">
        <v>0.4</v>
      </c>
      <c r="AH73" s="455"/>
      <c r="AI73" s="450">
        <f t="shared" si="56"/>
        <v>1540</v>
      </c>
      <c r="AJ73" s="443">
        <f>'[1]TTM Orignal - With Levers'!K55</f>
        <v>1100</v>
      </c>
      <c r="AK73" s="454">
        <v>0.4</v>
      </c>
      <c r="AL73" s="455"/>
      <c r="AM73" s="450">
        <f t="shared" si="57"/>
        <v>4340</v>
      </c>
      <c r="AN73" s="443">
        <f>'[1]TTM Orignal - With Levers'!L55</f>
        <v>3100</v>
      </c>
      <c r="AO73" s="454">
        <v>0.4</v>
      </c>
      <c r="AP73" s="455"/>
      <c r="AQ73" s="450">
        <f t="shared" si="58"/>
        <v>2982</v>
      </c>
      <c r="AR73" s="443">
        <f>'[1]TTM Orignal - With Levers'!M55</f>
        <v>2130</v>
      </c>
      <c r="AS73" s="454">
        <v>0.4</v>
      </c>
      <c r="AT73" s="455"/>
      <c r="AU73" s="450">
        <f t="shared" si="59"/>
        <v>2842</v>
      </c>
      <c r="AV73" s="158">
        <f>'[1]TTM Orignal - With Levers'!N55</f>
        <v>2030</v>
      </c>
      <c r="AW73" s="249">
        <v>0.4</v>
      </c>
      <c r="AX73" s="88"/>
      <c r="AY73" s="76">
        <f t="shared" si="60"/>
        <v>23615.599999999999</v>
      </c>
      <c r="AZ73" s="292">
        <f>'[1]TTM Orignal - With Levers'!V55</f>
        <v>11000</v>
      </c>
      <c r="BA73" s="319">
        <f t="shared" si="61"/>
        <v>14644</v>
      </c>
      <c r="BB73" s="318">
        <f t="shared" si="62"/>
        <v>14644</v>
      </c>
      <c r="BC73" s="317">
        <v>0</v>
      </c>
      <c r="BE73" s="208">
        <f t="shared" si="63"/>
        <v>14644</v>
      </c>
      <c r="BF73" s="207">
        <f t="shared" si="64"/>
        <v>14644</v>
      </c>
    </row>
    <row r="74" spans="1:58" x14ac:dyDescent="0.3">
      <c r="A74" s="178">
        <v>6140</v>
      </c>
      <c r="B74" s="91" t="s">
        <v>75</v>
      </c>
      <c r="C74" s="221">
        <f t="shared" si="48"/>
        <v>1083</v>
      </c>
      <c r="D74" s="158">
        <f>'[1]TTM Orignal - With Levers'!C56</f>
        <v>1083</v>
      </c>
      <c r="E74" s="219">
        <v>0</v>
      </c>
      <c r="F74" s="88"/>
      <c r="G74" s="221">
        <f t="shared" si="49"/>
        <v>1083</v>
      </c>
      <c r="H74" s="158">
        <f>'[1]TTM Orignal - With Levers'!D56</f>
        <v>1083</v>
      </c>
      <c r="I74" s="219">
        <v>0</v>
      </c>
      <c r="J74" s="88"/>
      <c r="K74" s="221">
        <f t="shared" si="50"/>
        <v>1083</v>
      </c>
      <c r="L74" s="158">
        <f>'[1]TTM Orignal - With Levers'!E56</f>
        <v>1083</v>
      </c>
      <c r="M74" s="219">
        <v>0</v>
      </c>
      <c r="N74" s="88"/>
      <c r="O74" s="221">
        <f t="shared" si="51"/>
        <v>1083</v>
      </c>
      <c r="P74" s="158">
        <f>'[1]TTM Orignal - With Levers'!F56</f>
        <v>1083</v>
      </c>
      <c r="Q74" s="219">
        <v>0</v>
      </c>
      <c r="R74" s="88"/>
      <c r="S74" s="221">
        <f t="shared" si="52"/>
        <v>1083</v>
      </c>
      <c r="T74" s="158">
        <f>'[1]TTM Orignal - With Levers'!G56</f>
        <v>1083</v>
      </c>
      <c r="U74" s="219">
        <v>0</v>
      </c>
      <c r="V74" s="88"/>
      <c r="W74" s="221">
        <f t="shared" si="53"/>
        <v>1083</v>
      </c>
      <c r="X74" s="158">
        <f>'[1]TTM Orignal - With Levers'!H56</f>
        <v>1083</v>
      </c>
      <c r="Y74" s="219">
        <v>0</v>
      </c>
      <c r="Z74" s="88"/>
      <c r="AA74" s="221">
        <f t="shared" si="54"/>
        <v>1083</v>
      </c>
      <c r="AB74" s="158">
        <f>'[1]TTM Orignal - With Levers'!I56</f>
        <v>1083</v>
      </c>
      <c r="AC74" s="219">
        <v>0</v>
      </c>
      <c r="AD74" s="88"/>
      <c r="AE74" s="221">
        <f t="shared" si="55"/>
        <v>1083</v>
      </c>
      <c r="AF74" s="158">
        <f>'[1]TTM Orignal - With Levers'!J56</f>
        <v>1083</v>
      </c>
      <c r="AG74" s="219">
        <v>0</v>
      </c>
      <c r="AH74" s="88"/>
      <c r="AI74" s="221">
        <f t="shared" si="56"/>
        <v>1083</v>
      </c>
      <c r="AJ74" s="158">
        <f>'[1]TTM Orignal - With Levers'!K56</f>
        <v>1083</v>
      </c>
      <c r="AK74" s="219">
        <v>0</v>
      </c>
      <c r="AL74" s="88"/>
      <c r="AM74" s="221">
        <f t="shared" si="57"/>
        <v>1083</v>
      </c>
      <c r="AN74" s="158">
        <f>'[1]TTM Orignal - With Levers'!L56</f>
        <v>1083</v>
      </c>
      <c r="AO74" s="219">
        <v>0</v>
      </c>
      <c r="AP74" s="88"/>
      <c r="AQ74" s="221">
        <f t="shared" si="58"/>
        <v>1083</v>
      </c>
      <c r="AR74" s="158">
        <f>'[1]TTM Orignal - With Levers'!M56</f>
        <v>1083</v>
      </c>
      <c r="AS74" s="219">
        <v>0</v>
      </c>
      <c r="AT74" s="88"/>
      <c r="AU74" s="221">
        <f t="shared" si="59"/>
        <v>1087</v>
      </c>
      <c r="AV74" s="158">
        <f>'[1]TTM Orignal - With Levers'!N56</f>
        <v>1087</v>
      </c>
      <c r="AW74" s="219">
        <v>0</v>
      </c>
      <c r="AX74" s="88"/>
      <c r="AY74" s="76">
        <f t="shared" si="60"/>
        <v>24913</v>
      </c>
      <c r="AZ74" s="292">
        <f>'[1]TTM Orignal - With Levers'!V56</f>
        <v>13000</v>
      </c>
      <c r="BA74" s="319">
        <f t="shared" si="61"/>
        <v>13000</v>
      </c>
      <c r="BB74" s="318">
        <f t="shared" si="62"/>
        <v>13000</v>
      </c>
      <c r="BC74" s="317">
        <v>0</v>
      </c>
      <c r="BE74" s="208">
        <f t="shared" si="63"/>
        <v>13000</v>
      </c>
      <c r="BF74" s="207">
        <f t="shared" si="64"/>
        <v>13000</v>
      </c>
    </row>
    <row r="75" spans="1:58" x14ac:dyDescent="0.3">
      <c r="A75" s="176">
        <v>6150</v>
      </c>
      <c r="B75" s="91" t="s">
        <v>76</v>
      </c>
      <c r="C75" s="221">
        <f t="shared" si="48"/>
        <v>1250</v>
      </c>
      <c r="D75" s="158">
        <f>'[1]TTM Orignal - With Levers'!C57</f>
        <v>1250</v>
      </c>
      <c r="E75" s="219">
        <v>0</v>
      </c>
      <c r="F75" s="88"/>
      <c r="G75" s="221">
        <f t="shared" si="49"/>
        <v>1150</v>
      </c>
      <c r="H75" s="158">
        <f>'[1]TTM Orignal - With Levers'!D57</f>
        <v>1150</v>
      </c>
      <c r="I75" s="219">
        <v>0</v>
      </c>
      <c r="J75" s="88"/>
      <c r="K75" s="221">
        <f t="shared" si="50"/>
        <v>1150</v>
      </c>
      <c r="L75" s="158">
        <f>'[1]TTM Orignal - With Levers'!E57</f>
        <v>1150</v>
      </c>
      <c r="M75" s="219">
        <v>0</v>
      </c>
      <c r="N75" s="88"/>
      <c r="O75" s="221">
        <f t="shared" si="51"/>
        <v>850</v>
      </c>
      <c r="P75" s="158">
        <f>'[1]TTM Orignal - With Levers'!F57</f>
        <v>850</v>
      </c>
      <c r="Q75" s="219">
        <v>0</v>
      </c>
      <c r="R75" s="88"/>
      <c r="S75" s="221">
        <f t="shared" si="52"/>
        <v>700</v>
      </c>
      <c r="T75" s="158">
        <f>'[1]TTM Orignal - With Levers'!G57</f>
        <v>700</v>
      </c>
      <c r="U75" s="219">
        <v>0</v>
      </c>
      <c r="V75" s="88"/>
      <c r="W75" s="221">
        <f t="shared" si="53"/>
        <v>1050</v>
      </c>
      <c r="X75" s="158">
        <f>'[1]TTM Orignal - With Levers'!H57</f>
        <v>1050</v>
      </c>
      <c r="Y75" s="219">
        <v>0</v>
      </c>
      <c r="Z75" s="88"/>
      <c r="AA75" s="221">
        <f t="shared" si="54"/>
        <v>1300</v>
      </c>
      <c r="AB75" s="158">
        <f>'[1]TTM Orignal - With Levers'!I57</f>
        <v>1300</v>
      </c>
      <c r="AC75" s="219">
        <v>0</v>
      </c>
      <c r="AD75" s="88"/>
      <c r="AE75" s="221">
        <f t="shared" si="55"/>
        <v>1350</v>
      </c>
      <c r="AF75" s="158">
        <f>'[1]TTM Orignal - With Levers'!J57</f>
        <v>1350</v>
      </c>
      <c r="AG75" s="219">
        <v>0</v>
      </c>
      <c r="AH75" s="88"/>
      <c r="AI75" s="221">
        <f t="shared" si="56"/>
        <v>1000</v>
      </c>
      <c r="AJ75" s="158">
        <f>'[1]TTM Orignal - With Levers'!K57</f>
        <v>1000</v>
      </c>
      <c r="AK75" s="219">
        <v>0</v>
      </c>
      <c r="AL75" s="88"/>
      <c r="AM75" s="221">
        <f t="shared" si="57"/>
        <v>900</v>
      </c>
      <c r="AN75" s="158">
        <f>'[1]TTM Orignal - With Levers'!L57</f>
        <v>900</v>
      </c>
      <c r="AO75" s="219">
        <v>0</v>
      </c>
      <c r="AP75" s="88"/>
      <c r="AQ75" s="221">
        <f t="shared" si="58"/>
        <v>1100</v>
      </c>
      <c r="AR75" s="158">
        <f>'[1]TTM Orignal - With Levers'!M57</f>
        <v>1100</v>
      </c>
      <c r="AS75" s="219">
        <v>0</v>
      </c>
      <c r="AT75" s="88"/>
      <c r="AU75" s="221">
        <f t="shared" si="59"/>
        <v>1200</v>
      </c>
      <c r="AV75" s="158">
        <f>'[1]TTM Orignal - With Levers'!N57</f>
        <v>1200</v>
      </c>
      <c r="AW75" s="219">
        <v>0</v>
      </c>
      <c r="AX75" s="88"/>
      <c r="AY75" s="76">
        <f t="shared" si="60"/>
        <v>24800</v>
      </c>
      <c r="AZ75" s="292">
        <f>'[1]TTM Orignal - With Levers'!V57</f>
        <v>13000</v>
      </c>
      <c r="BA75" s="319">
        <f t="shared" si="61"/>
        <v>13000</v>
      </c>
      <c r="BB75" s="318">
        <f t="shared" si="62"/>
        <v>13000</v>
      </c>
      <c r="BC75" s="317">
        <v>0</v>
      </c>
      <c r="BE75" s="208">
        <f t="shared" si="63"/>
        <v>13000</v>
      </c>
      <c r="BF75" s="207">
        <f t="shared" si="64"/>
        <v>13000</v>
      </c>
    </row>
    <row r="76" spans="1:58" x14ac:dyDescent="0.3">
      <c r="A76" s="178">
        <v>6160</v>
      </c>
      <c r="B76" s="91" t="s">
        <v>77</v>
      </c>
      <c r="C76" s="221">
        <f t="shared" si="48"/>
        <v>1200</v>
      </c>
      <c r="D76" s="158">
        <f>'[1]TTM Orignal - With Levers'!C58</f>
        <v>1200</v>
      </c>
      <c r="E76" s="219">
        <v>0</v>
      </c>
      <c r="F76" s="88"/>
      <c r="G76" s="221">
        <f t="shared" si="49"/>
        <v>800</v>
      </c>
      <c r="H76" s="158">
        <f>'[1]TTM Orignal - With Levers'!D58</f>
        <v>800</v>
      </c>
      <c r="I76" s="219">
        <v>0</v>
      </c>
      <c r="J76" s="88"/>
      <c r="K76" s="221">
        <f t="shared" si="50"/>
        <v>900</v>
      </c>
      <c r="L76" s="158">
        <f>'[1]TTM Orignal - With Levers'!E58</f>
        <v>900</v>
      </c>
      <c r="M76" s="219">
        <v>0</v>
      </c>
      <c r="N76" s="88"/>
      <c r="O76" s="221">
        <f t="shared" si="51"/>
        <v>1100</v>
      </c>
      <c r="P76" s="158">
        <f>'[1]TTM Orignal - With Levers'!F58</f>
        <v>1100</v>
      </c>
      <c r="Q76" s="219">
        <v>0</v>
      </c>
      <c r="R76" s="88"/>
      <c r="S76" s="221">
        <f t="shared" si="52"/>
        <v>500</v>
      </c>
      <c r="T76" s="158">
        <f>'[1]TTM Orignal - With Levers'!G58</f>
        <v>500</v>
      </c>
      <c r="U76" s="219">
        <v>0</v>
      </c>
      <c r="V76" s="88"/>
      <c r="W76" s="221">
        <f t="shared" si="53"/>
        <v>1500</v>
      </c>
      <c r="X76" s="158">
        <f>'[1]TTM Orignal - With Levers'!H58</f>
        <v>1500</v>
      </c>
      <c r="Y76" s="219">
        <v>0</v>
      </c>
      <c r="Z76" s="88"/>
      <c r="AA76" s="221">
        <f t="shared" si="54"/>
        <v>1000</v>
      </c>
      <c r="AB76" s="158">
        <f>'[1]TTM Orignal - With Levers'!I58</f>
        <v>1000</v>
      </c>
      <c r="AC76" s="219">
        <v>0</v>
      </c>
      <c r="AD76" s="88"/>
      <c r="AE76" s="221">
        <f t="shared" si="55"/>
        <v>1000</v>
      </c>
      <c r="AF76" s="158">
        <f>'[1]TTM Orignal - With Levers'!J58</f>
        <v>1000</v>
      </c>
      <c r="AG76" s="219">
        <v>0</v>
      </c>
      <c r="AH76" s="88"/>
      <c r="AI76" s="221">
        <f t="shared" si="56"/>
        <v>700</v>
      </c>
      <c r="AJ76" s="158">
        <f>'[1]TTM Orignal - With Levers'!K58</f>
        <v>700</v>
      </c>
      <c r="AK76" s="219">
        <v>0</v>
      </c>
      <c r="AL76" s="88"/>
      <c r="AM76" s="221">
        <f t="shared" si="57"/>
        <v>1300</v>
      </c>
      <c r="AN76" s="158">
        <f>'[1]TTM Orignal - With Levers'!L58</f>
        <v>1300</v>
      </c>
      <c r="AO76" s="219">
        <v>0</v>
      </c>
      <c r="AP76" s="88"/>
      <c r="AQ76" s="221">
        <f t="shared" si="58"/>
        <v>1100</v>
      </c>
      <c r="AR76" s="158">
        <f>'[1]TTM Orignal - With Levers'!M58</f>
        <v>1100</v>
      </c>
      <c r="AS76" s="219">
        <v>0</v>
      </c>
      <c r="AT76" s="88"/>
      <c r="AU76" s="221">
        <f t="shared" si="59"/>
        <v>900</v>
      </c>
      <c r="AV76" s="158">
        <f>'[1]TTM Orignal - With Levers'!N58</f>
        <v>900</v>
      </c>
      <c r="AW76" s="219">
        <v>0</v>
      </c>
      <c r="AX76" s="88"/>
      <c r="AY76" s="76">
        <f t="shared" si="60"/>
        <v>23100</v>
      </c>
      <c r="AZ76" s="292">
        <f>'[1]TTM Orignal - With Levers'!V58</f>
        <v>12000</v>
      </c>
      <c r="BA76" s="319">
        <f t="shared" si="61"/>
        <v>12000</v>
      </c>
      <c r="BB76" s="318">
        <f t="shared" si="62"/>
        <v>12000</v>
      </c>
      <c r="BC76" s="317">
        <v>0</v>
      </c>
      <c r="BE76" s="208">
        <f t="shared" si="63"/>
        <v>12000</v>
      </c>
      <c r="BF76" s="207">
        <f t="shared" si="64"/>
        <v>12000</v>
      </c>
    </row>
    <row r="77" spans="1:58" x14ac:dyDescent="0.3">
      <c r="A77" s="176">
        <v>6170</v>
      </c>
      <c r="B77" s="75" t="s">
        <v>78</v>
      </c>
      <c r="C77" s="221">
        <f t="shared" si="48"/>
        <v>2470</v>
      </c>
      <c r="D77" s="158">
        <f>'[1]TTM Orignal - With Levers'!C59</f>
        <v>2470</v>
      </c>
      <c r="E77" s="219">
        <v>0</v>
      </c>
      <c r="F77" s="77"/>
      <c r="G77" s="221">
        <f t="shared" si="49"/>
        <v>760</v>
      </c>
      <c r="H77" s="158">
        <f>'[1]TTM Orignal - With Levers'!D59</f>
        <v>760</v>
      </c>
      <c r="I77" s="219">
        <v>0</v>
      </c>
      <c r="J77" s="77"/>
      <c r="K77" s="221">
        <f t="shared" si="50"/>
        <v>1520</v>
      </c>
      <c r="L77" s="158">
        <f>'[1]TTM Orignal - With Levers'!E59</f>
        <v>1520</v>
      </c>
      <c r="M77" s="219">
        <v>0</v>
      </c>
      <c r="N77" s="77"/>
      <c r="O77" s="221">
        <f t="shared" si="51"/>
        <v>950</v>
      </c>
      <c r="P77" s="158">
        <f>'[1]TTM Orignal - With Levers'!F59</f>
        <v>950</v>
      </c>
      <c r="Q77" s="219">
        <v>0</v>
      </c>
      <c r="R77" s="77"/>
      <c r="S77" s="221">
        <f t="shared" si="52"/>
        <v>760</v>
      </c>
      <c r="T77" s="158">
        <f>'[1]TTM Orignal - With Levers'!G59</f>
        <v>760</v>
      </c>
      <c r="U77" s="219">
        <v>0</v>
      </c>
      <c r="V77" s="77"/>
      <c r="W77" s="221">
        <f t="shared" si="53"/>
        <v>950</v>
      </c>
      <c r="X77" s="158">
        <f>'[1]TTM Orignal - With Levers'!H59</f>
        <v>950</v>
      </c>
      <c r="Y77" s="219">
        <v>0</v>
      </c>
      <c r="Z77" s="77"/>
      <c r="AA77" s="221">
        <f t="shared" si="54"/>
        <v>1330</v>
      </c>
      <c r="AB77" s="158">
        <f>'[1]TTM Orignal - With Levers'!I59</f>
        <v>1330</v>
      </c>
      <c r="AC77" s="219">
        <v>0</v>
      </c>
      <c r="AD77" s="77"/>
      <c r="AE77" s="221">
        <f t="shared" si="55"/>
        <v>1900</v>
      </c>
      <c r="AF77" s="158">
        <f>'[1]TTM Orignal - With Levers'!J59</f>
        <v>1900</v>
      </c>
      <c r="AG77" s="219">
        <v>0</v>
      </c>
      <c r="AH77" s="77"/>
      <c r="AI77" s="221">
        <f t="shared" si="56"/>
        <v>1140</v>
      </c>
      <c r="AJ77" s="158">
        <f>'[1]TTM Orignal - With Levers'!K59</f>
        <v>1140</v>
      </c>
      <c r="AK77" s="219">
        <v>0</v>
      </c>
      <c r="AL77" s="77"/>
      <c r="AM77" s="221">
        <f t="shared" si="57"/>
        <v>3230</v>
      </c>
      <c r="AN77" s="158">
        <f>'[1]TTM Orignal - With Levers'!L59</f>
        <v>3230</v>
      </c>
      <c r="AO77" s="219">
        <v>0</v>
      </c>
      <c r="AP77" s="77"/>
      <c r="AQ77" s="221">
        <f t="shared" si="58"/>
        <v>3040</v>
      </c>
      <c r="AR77" s="158">
        <f>'[1]TTM Orignal - With Levers'!M59</f>
        <v>3040</v>
      </c>
      <c r="AS77" s="219">
        <v>0</v>
      </c>
      <c r="AT77" s="77"/>
      <c r="AU77" s="221">
        <f t="shared" si="59"/>
        <v>950</v>
      </c>
      <c r="AV77" s="158">
        <f>'[1]TTM Orignal - With Levers'!N59</f>
        <v>950</v>
      </c>
      <c r="AW77" s="219">
        <v>0</v>
      </c>
      <c r="AX77" s="77"/>
      <c r="AY77" s="76">
        <f t="shared" si="60"/>
        <v>37050</v>
      </c>
      <c r="AZ77" s="292">
        <f>'[1]TTM Orignal - With Levers'!V59</f>
        <v>19000</v>
      </c>
      <c r="BA77" s="319">
        <f t="shared" si="61"/>
        <v>19000</v>
      </c>
      <c r="BB77" s="318">
        <f t="shared" si="62"/>
        <v>19000</v>
      </c>
      <c r="BC77" s="317">
        <v>0</v>
      </c>
      <c r="BE77" s="208">
        <f t="shared" si="63"/>
        <v>19000</v>
      </c>
      <c r="BF77" s="207">
        <f t="shared" si="64"/>
        <v>19000</v>
      </c>
    </row>
    <row r="78" spans="1:58" x14ac:dyDescent="0.3">
      <c r="A78" s="178">
        <v>6180</v>
      </c>
      <c r="B78" s="91" t="s">
        <v>79</v>
      </c>
      <c r="C78" s="221">
        <f t="shared" si="48"/>
        <v>250</v>
      </c>
      <c r="D78" s="158">
        <f>'[1]TTM Orignal - With Levers'!C60</f>
        <v>250</v>
      </c>
      <c r="E78" s="219">
        <v>0</v>
      </c>
      <c r="F78" s="88"/>
      <c r="G78" s="221">
        <f t="shared" si="49"/>
        <v>250</v>
      </c>
      <c r="H78" s="158">
        <f>'[1]TTM Orignal - With Levers'!D60</f>
        <v>250</v>
      </c>
      <c r="I78" s="219">
        <v>0</v>
      </c>
      <c r="J78" s="88"/>
      <c r="K78" s="221">
        <f t="shared" si="50"/>
        <v>250</v>
      </c>
      <c r="L78" s="158">
        <f>'[1]TTM Orignal - With Levers'!E60</f>
        <v>250</v>
      </c>
      <c r="M78" s="219">
        <v>0</v>
      </c>
      <c r="N78" s="88"/>
      <c r="O78" s="221">
        <f t="shared" si="51"/>
        <v>250</v>
      </c>
      <c r="P78" s="158">
        <f>'[1]TTM Orignal - With Levers'!F60</f>
        <v>250</v>
      </c>
      <c r="Q78" s="219">
        <v>0</v>
      </c>
      <c r="R78" s="88"/>
      <c r="S78" s="221">
        <f t="shared" si="52"/>
        <v>250</v>
      </c>
      <c r="T78" s="158">
        <f>'[1]TTM Orignal - With Levers'!G60</f>
        <v>250</v>
      </c>
      <c r="U78" s="219">
        <v>0</v>
      </c>
      <c r="V78" s="88"/>
      <c r="W78" s="221">
        <f t="shared" si="53"/>
        <v>250</v>
      </c>
      <c r="X78" s="158">
        <f>'[1]TTM Orignal - With Levers'!H60</f>
        <v>250</v>
      </c>
      <c r="Y78" s="219">
        <v>0</v>
      </c>
      <c r="Z78" s="88"/>
      <c r="AA78" s="221">
        <f t="shared" si="54"/>
        <v>250</v>
      </c>
      <c r="AB78" s="158">
        <f>'[1]TTM Orignal - With Levers'!I60</f>
        <v>250</v>
      </c>
      <c r="AC78" s="219">
        <v>0</v>
      </c>
      <c r="AD78" s="88"/>
      <c r="AE78" s="221">
        <f t="shared" si="55"/>
        <v>250</v>
      </c>
      <c r="AF78" s="158">
        <f>'[1]TTM Orignal - With Levers'!J60</f>
        <v>250</v>
      </c>
      <c r="AG78" s="219">
        <v>0</v>
      </c>
      <c r="AH78" s="88"/>
      <c r="AI78" s="221">
        <f t="shared" si="56"/>
        <v>250</v>
      </c>
      <c r="AJ78" s="158">
        <f>'[1]TTM Orignal - With Levers'!K60</f>
        <v>250</v>
      </c>
      <c r="AK78" s="219">
        <v>0</v>
      </c>
      <c r="AL78" s="88"/>
      <c r="AM78" s="221">
        <f t="shared" si="57"/>
        <v>250</v>
      </c>
      <c r="AN78" s="158">
        <f>'[1]TTM Orignal - With Levers'!L60</f>
        <v>250</v>
      </c>
      <c r="AO78" s="219">
        <v>0</v>
      </c>
      <c r="AP78" s="88"/>
      <c r="AQ78" s="221">
        <f t="shared" si="58"/>
        <v>250</v>
      </c>
      <c r="AR78" s="158">
        <f>'[1]TTM Orignal - With Levers'!M60</f>
        <v>250</v>
      </c>
      <c r="AS78" s="219">
        <v>0</v>
      </c>
      <c r="AT78" s="88"/>
      <c r="AU78" s="221">
        <f t="shared" si="59"/>
        <v>250</v>
      </c>
      <c r="AV78" s="158">
        <f>'[1]TTM Orignal - With Levers'!N60</f>
        <v>250</v>
      </c>
      <c r="AW78" s="219">
        <v>0</v>
      </c>
      <c r="AX78" s="88"/>
      <c r="AY78" s="76">
        <f t="shared" si="60"/>
        <v>5750</v>
      </c>
      <c r="AZ78" s="292">
        <f>'[1]TTM Orignal - With Levers'!V60</f>
        <v>3000</v>
      </c>
      <c r="BA78" s="319">
        <f t="shared" si="61"/>
        <v>3000</v>
      </c>
      <c r="BB78" s="318">
        <f t="shared" si="62"/>
        <v>3000</v>
      </c>
      <c r="BC78" s="317">
        <v>0</v>
      </c>
      <c r="BE78" s="208">
        <f t="shared" si="63"/>
        <v>3000</v>
      </c>
      <c r="BF78" s="207">
        <f t="shared" si="64"/>
        <v>3000</v>
      </c>
    </row>
    <row r="79" spans="1:58" x14ac:dyDescent="0.3">
      <c r="A79" s="176">
        <v>6190</v>
      </c>
      <c r="B79" s="91" t="s">
        <v>80</v>
      </c>
      <c r="C79" s="221">
        <f t="shared" si="48"/>
        <v>250</v>
      </c>
      <c r="D79" s="158">
        <f>'[1]TTM Orignal - With Levers'!C61</f>
        <v>250</v>
      </c>
      <c r="E79" s="219">
        <v>0</v>
      </c>
      <c r="F79" s="88"/>
      <c r="G79" s="221">
        <f t="shared" si="49"/>
        <v>250</v>
      </c>
      <c r="H79" s="158">
        <f>'[1]TTM Orignal - With Levers'!D61</f>
        <v>250</v>
      </c>
      <c r="I79" s="219">
        <v>0</v>
      </c>
      <c r="J79" s="88"/>
      <c r="K79" s="221">
        <f t="shared" si="50"/>
        <v>250</v>
      </c>
      <c r="L79" s="158">
        <f>'[1]TTM Orignal - With Levers'!E61</f>
        <v>250</v>
      </c>
      <c r="M79" s="219">
        <v>0</v>
      </c>
      <c r="N79" s="88"/>
      <c r="O79" s="221">
        <f t="shared" si="51"/>
        <v>250</v>
      </c>
      <c r="P79" s="158">
        <f>'[1]TTM Orignal - With Levers'!F61</f>
        <v>250</v>
      </c>
      <c r="Q79" s="219">
        <v>0</v>
      </c>
      <c r="R79" s="88"/>
      <c r="S79" s="221">
        <f t="shared" si="52"/>
        <v>250</v>
      </c>
      <c r="T79" s="158">
        <f>'[1]TTM Orignal - With Levers'!G61</f>
        <v>250</v>
      </c>
      <c r="U79" s="219">
        <v>0</v>
      </c>
      <c r="V79" s="88"/>
      <c r="W79" s="221">
        <f t="shared" si="53"/>
        <v>250</v>
      </c>
      <c r="X79" s="158">
        <f>'[1]TTM Orignal - With Levers'!H61</f>
        <v>250</v>
      </c>
      <c r="Y79" s="219">
        <v>0</v>
      </c>
      <c r="Z79" s="88"/>
      <c r="AA79" s="221">
        <f t="shared" si="54"/>
        <v>250</v>
      </c>
      <c r="AB79" s="158">
        <f>'[1]TTM Orignal - With Levers'!I61</f>
        <v>250</v>
      </c>
      <c r="AC79" s="219">
        <v>0</v>
      </c>
      <c r="AD79" s="88"/>
      <c r="AE79" s="221">
        <f t="shared" si="55"/>
        <v>250</v>
      </c>
      <c r="AF79" s="158">
        <f>'[1]TTM Orignal - With Levers'!J61</f>
        <v>250</v>
      </c>
      <c r="AG79" s="219">
        <v>0</v>
      </c>
      <c r="AH79" s="88"/>
      <c r="AI79" s="221">
        <f t="shared" si="56"/>
        <v>250</v>
      </c>
      <c r="AJ79" s="158">
        <f>'[1]TTM Orignal - With Levers'!K61</f>
        <v>250</v>
      </c>
      <c r="AK79" s="219">
        <v>0</v>
      </c>
      <c r="AL79" s="88"/>
      <c r="AM79" s="221">
        <f t="shared" si="57"/>
        <v>250</v>
      </c>
      <c r="AN79" s="158">
        <f>'[1]TTM Orignal - With Levers'!L61</f>
        <v>250</v>
      </c>
      <c r="AO79" s="219">
        <v>0</v>
      </c>
      <c r="AP79" s="88"/>
      <c r="AQ79" s="221">
        <f t="shared" si="58"/>
        <v>250</v>
      </c>
      <c r="AR79" s="158">
        <f>'[1]TTM Orignal - With Levers'!M61</f>
        <v>250</v>
      </c>
      <c r="AS79" s="219">
        <v>0</v>
      </c>
      <c r="AT79" s="88"/>
      <c r="AU79" s="221">
        <f t="shared" si="59"/>
        <v>250</v>
      </c>
      <c r="AV79" s="158">
        <f>'[1]TTM Orignal - With Levers'!N61</f>
        <v>250</v>
      </c>
      <c r="AW79" s="219">
        <v>0</v>
      </c>
      <c r="AX79" s="88"/>
      <c r="AY79" s="76">
        <f t="shared" si="60"/>
        <v>5750</v>
      </c>
      <c r="AZ79" s="292">
        <f>'[1]TTM Orignal - With Levers'!V61</f>
        <v>3000</v>
      </c>
      <c r="BA79" s="319">
        <f t="shared" si="61"/>
        <v>3000</v>
      </c>
      <c r="BB79" s="318">
        <f t="shared" si="62"/>
        <v>3000</v>
      </c>
      <c r="BC79" s="317">
        <v>0</v>
      </c>
      <c r="BE79" s="208">
        <f t="shared" si="63"/>
        <v>3000</v>
      </c>
      <c r="BF79" s="207">
        <f t="shared" si="64"/>
        <v>3000</v>
      </c>
    </row>
    <row r="80" spans="1:58" x14ac:dyDescent="0.3">
      <c r="A80" s="178">
        <v>6200</v>
      </c>
      <c r="B80" s="93" t="s">
        <v>83</v>
      </c>
      <c r="C80" s="221">
        <f t="shared" si="48"/>
        <v>4166.666666666667</v>
      </c>
      <c r="D80" s="158">
        <f>'[1]TTM Orignal - With Levers'!C62</f>
        <v>4166.666666666667</v>
      </c>
      <c r="E80" s="219">
        <v>0</v>
      </c>
      <c r="F80" s="88"/>
      <c r="G80" s="221">
        <f t="shared" si="49"/>
        <v>4166.666666666667</v>
      </c>
      <c r="H80" s="158">
        <f>'[1]TTM Orignal - With Levers'!D62</f>
        <v>4166.666666666667</v>
      </c>
      <c r="I80" s="219">
        <v>0</v>
      </c>
      <c r="J80" s="88"/>
      <c r="K80" s="221">
        <f t="shared" si="50"/>
        <v>4166.666666666667</v>
      </c>
      <c r="L80" s="158">
        <f>'[1]TTM Orignal - With Levers'!E62</f>
        <v>4166.666666666667</v>
      </c>
      <c r="M80" s="219">
        <v>0</v>
      </c>
      <c r="N80" s="88"/>
      <c r="O80" s="221">
        <f t="shared" si="51"/>
        <v>4166.666666666667</v>
      </c>
      <c r="P80" s="158">
        <f>'[1]TTM Orignal - With Levers'!F62</f>
        <v>4166.666666666667</v>
      </c>
      <c r="Q80" s="219">
        <v>0</v>
      </c>
      <c r="R80" s="88"/>
      <c r="S80" s="221">
        <f t="shared" si="52"/>
        <v>4166.666666666667</v>
      </c>
      <c r="T80" s="158">
        <f>'[1]TTM Orignal - With Levers'!G62</f>
        <v>4166.666666666667</v>
      </c>
      <c r="U80" s="219">
        <v>0</v>
      </c>
      <c r="V80" s="88"/>
      <c r="W80" s="221">
        <f t="shared" si="53"/>
        <v>4166.666666666667</v>
      </c>
      <c r="X80" s="158">
        <f>'[1]TTM Orignal - With Levers'!H62</f>
        <v>4166.666666666667</v>
      </c>
      <c r="Y80" s="219">
        <v>0</v>
      </c>
      <c r="Z80" s="88"/>
      <c r="AA80" s="221">
        <f t="shared" si="54"/>
        <v>4166.666666666667</v>
      </c>
      <c r="AB80" s="158">
        <f>'[1]TTM Orignal - With Levers'!I62</f>
        <v>4166.666666666667</v>
      </c>
      <c r="AC80" s="219">
        <v>0</v>
      </c>
      <c r="AD80" s="88"/>
      <c r="AE80" s="221">
        <f t="shared" si="55"/>
        <v>4166.666666666667</v>
      </c>
      <c r="AF80" s="158">
        <f>'[1]TTM Orignal - With Levers'!J62</f>
        <v>4166.666666666667</v>
      </c>
      <c r="AG80" s="219">
        <v>0</v>
      </c>
      <c r="AH80" s="88"/>
      <c r="AI80" s="221">
        <f t="shared" si="56"/>
        <v>4166.666666666667</v>
      </c>
      <c r="AJ80" s="158">
        <f>'[1]TTM Orignal - With Levers'!K62</f>
        <v>4166.666666666667</v>
      </c>
      <c r="AK80" s="219">
        <v>0</v>
      </c>
      <c r="AL80" s="88"/>
      <c r="AM80" s="221">
        <f t="shared" si="57"/>
        <v>4166.666666666667</v>
      </c>
      <c r="AN80" s="158">
        <f>'[1]TTM Orignal - With Levers'!L62</f>
        <v>4166.666666666667</v>
      </c>
      <c r="AO80" s="219">
        <v>0</v>
      </c>
      <c r="AP80" s="88"/>
      <c r="AQ80" s="221">
        <f t="shared" si="58"/>
        <v>4166.666666666667</v>
      </c>
      <c r="AR80" s="158">
        <f>'[1]TTM Orignal - With Levers'!M62</f>
        <v>4166.666666666667</v>
      </c>
      <c r="AS80" s="219">
        <v>0</v>
      </c>
      <c r="AT80" s="88"/>
      <c r="AU80" s="221">
        <f t="shared" si="59"/>
        <v>4166.666666666667</v>
      </c>
      <c r="AV80" s="158">
        <f>'[1]TTM Orignal - With Levers'!N62</f>
        <v>4166.666666666667</v>
      </c>
      <c r="AW80" s="219">
        <v>0</v>
      </c>
      <c r="AX80" s="88"/>
      <c r="AY80" s="76">
        <f t="shared" si="60"/>
        <v>95833.333333333358</v>
      </c>
      <c r="AZ80" s="292">
        <f>'[1]TTM Orignal - With Levers'!V62</f>
        <v>49999.999999999993</v>
      </c>
      <c r="BA80" s="319">
        <f t="shared" si="61"/>
        <v>49999.999999999993</v>
      </c>
      <c r="BB80" s="318">
        <f t="shared" si="62"/>
        <v>49999.999999999993</v>
      </c>
      <c r="BC80" s="317">
        <v>0</v>
      </c>
      <c r="BE80" s="208">
        <f t="shared" si="63"/>
        <v>49999.999999999993</v>
      </c>
      <c r="BF80" s="207">
        <f t="shared" si="64"/>
        <v>49999.999999999993</v>
      </c>
    </row>
    <row r="81" spans="1:59" x14ac:dyDescent="0.3">
      <c r="A81" s="176">
        <v>6210</v>
      </c>
      <c r="B81" s="91" t="s">
        <v>84</v>
      </c>
      <c r="C81" s="221">
        <f t="shared" si="48"/>
        <v>1683.5981519884429</v>
      </c>
      <c r="D81" s="158">
        <f>'[1]TTM Orignal - With Levers'!C63</f>
        <v>1683.5981519884429</v>
      </c>
      <c r="E81" s="219">
        <v>0</v>
      </c>
      <c r="F81" s="88"/>
      <c r="G81" s="221">
        <f t="shared" si="49"/>
        <v>1632.3372245385917</v>
      </c>
      <c r="H81" s="158">
        <f>'[1]TTM Orignal - With Levers'!D63</f>
        <v>1632.3372245385917</v>
      </c>
      <c r="I81" s="219">
        <v>0</v>
      </c>
      <c r="J81" s="88"/>
      <c r="K81" s="221">
        <f t="shared" si="50"/>
        <v>1447.4794575846822</v>
      </c>
      <c r="L81" s="158">
        <f>'[1]TTM Orignal - With Levers'!E63</f>
        <v>1447.4794575846822</v>
      </c>
      <c r="M81" s="219">
        <v>0</v>
      </c>
      <c r="N81" s="88"/>
      <c r="O81" s="221">
        <f t="shared" si="51"/>
        <v>1383.8567469045513</v>
      </c>
      <c r="P81" s="158">
        <f>'[1]TTM Orignal - With Levers'!F63</f>
        <v>1383.8567469045513</v>
      </c>
      <c r="Q81" s="219">
        <v>0</v>
      </c>
      <c r="R81" s="88"/>
      <c r="S81" s="221">
        <f t="shared" si="52"/>
        <v>1200.0386874952258</v>
      </c>
      <c r="T81" s="158">
        <f>'[1]TTM Orignal - With Levers'!G63</f>
        <v>1200.0386874952258</v>
      </c>
      <c r="U81" s="219">
        <v>0</v>
      </c>
      <c r="V81" s="88"/>
      <c r="W81" s="221">
        <f t="shared" si="53"/>
        <v>1293.8301012991162</v>
      </c>
      <c r="X81" s="158">
        <f>'[1]TTM Orignal - With Levers'!H63</f>
        <v>1293.8301012991162</v>
      </c>
      <c r="Y81" s="219">
        <v>0</v>
      </c>
      <c r="Z81" s="88"/>
      <c r="AA81" s="221">
        <f t="shared" si="54"/>
        <v>1282.1636925077585</v>
      </c>
      <c r="AB81" s="158">
        <f>'[1]TTM Orignal - With Levers'!I63</f>
        <v>1282.1636925077585</v>
      </c>
      <c r="AC81" s="219">
        <v>0</v>
      </c>
      <c r="AD81" s="88"/>
      <c r="AE81" s="221">
        <f t="shared" si="55"/>
        <v>1435.9155005148393</v>
      </c>
      <c r="AF81" s="158">
        <f>'[1]TTM Orignal - With Levers'!J63</f>
        <v>1435.9155005148393</v>
      </c>
      <c r="AG81" s="219">
        <v>0</v>
      </c>
      <c r="AH81" s="88"/>
      <c r="AI81" s="221">
        <f t="shared" si="56"/>
        <v>1368.6034939519518</v>
      </c>
      <c r="AJ81" s="158">
        <f>'[1]TTM Orignal - With Levers'!K63</f>
        <v>1368.6034939519518</v>
      </c>
      <c r="AK81" s="219">
        <v>0</v>
      </c>
      <c r="AL81" s="88"/>
      <c r="AM81" s="221">
        <f t="shared" si="57"/>
        <v>1666.2578485623956</v>
      </c>
      <c r="AN81" s="158">
        <f>'[1]TTM Orignal - With Levers'!L63</f>
        <v>1666.2578485623956</v>
      </c>
      <c r="AO81" s="219">
        <v>0</v>
      </c>
      <c r="AP81" s="88"/>
      <c r="AQ81" s="221">
        <f t="shared" si="58"/>
        <v>1816.047974870675</v>
      </c>
      <c r="AR81" s="158">
        <f>'[1]TTM Orignal - With Levers'!M63</f>
        <v>1816.047974870675</v>
      </c>
      <c r="AS81" s="219">
        <v>0</v>
      </c>
      <c r="AT81" s="88"/>
      <c r="AU81" s="221">
        <f t="shared" si="59"/>
        <v>1622.8507705101561</v>
      </c>
      <c r="AV81" s="158">
        <f>'[1]TTM Orignal - With Levers'!N63</f>
        <v>1622.8507705101561</v>
      </c>
      <c r="AW81" s="219">
        <v>0</v>
      </c>
      <c r="AX81" s="88"/>
      <c r="AY81" s="322">
        <f>SUM(AY80*0.1059)</f>
        <v>10148.750000000002</v>
      </c>
      <c r="AZ81" s="292">
        <f>'[1]TTM Orignal - With Levers'!V63</f>
        <v>17832.979650728386</v>
      </c>
      <c r="BA81" s="319">
        <f t="shared" si="61"/>
        <v>17832.979650728386</v>
      </c>
      <c r="BB81" s="318">
        <f t="shared" si="62"/>
        <v>17832.979650728386</v>
      </c>
      <c r="BC81" s="317">
        <v>0</v>
      </c>
      <c r="BE81" s="208">
        <f t="shared" si="63"/>
        <v>17832.979650728386</v>
      </c>
      <c r="BF81" s="207">
        <f t="shared" si="64"/>
        <v>17832.979650728386</v>
      </c>
    </row>
    <row r="82" spans="1:59" x14ac:dyDescent="0.3">
      <c r="A82" s="178">
        <v>6220</v>
      </c>
      <c r="B82" s="91" t="s">
        <v>85</v>
      </c>
      <c r="C82" s="221">
        <f t="shared" si="48"/>
        <v>1550</v>
      </c>
      <c r="D82" s="158">
        <f>'[1]TTM Orignal - With Levers'!C64</f>
        <v>1550</v>
      </c>
      <c r="E82" s="219">
        <v>0</v>
      </c>
      <c r="F82" s="88"/>
      <c r="G82" s="221">
        <f t="shared" si="49"/>
        <v>1550</v>
      </c>
      <c r="H82" s="158">
        <f>'[1]TTM Orignal - With Levers'!D64</f>
        <v>1550</v>
      </c>
      <c r="I82" s="219">
        <v>0</v>
      </c>
      <c r="J82" s="88"/>
      <c r="K82" s="221">
        <f t="shared" si="50"/>
        <v>1550</v>
      </c>
      <c r="L82" s="158">
        <f>'[1]TTM Orignal - With Levers'!E64</f>
        <v>1550</v>
      </c>
      <c r="M82" s="219">
        <v>0</v>
      </c>
      <c r="N82" s="88"/>
      <c r="O82" s="221">
        <f t="shared" si="51"/>
        <v>1550</v>
      </c>
      <c r="P82" s="158">
        <f>'[1]TTM Orignal - With Levers'!F64</f>
        <v>1550</v>
      </c>
      <c r="Q82" s="219">
        <v>0</v>
      </c>
      <c r="R82" s="88"/>
      <c r="S82" s="221">
        <f t="shared" si="52"/>
        <v>1550</v>
      </c>
      <c r="T82" s="158">
        <f>'[1]TTM Orignal - With Levers'!G64</f>
        <v>1550</v>
      </c>
      <c r="U82" s="219">
        <v>0</v>
      </c>
      <c r="V82" s="88"/>
      <c r="W82" s="221">
        <f t="shared" si="53"/>
        <v>1550</v>
      </c>
      <c r="X82" s="158">
        <f>'[1]TTM Orignal - With Levers'!H64</f>
        <v>1550</v>
      </c>
      <c r="Y82" s="219">
        <v>0</v>
      </c>
      <c r="Z82" s="88"/>
      <c r="AA82" s="221">
        <f t="shared" si="54"/>
        <v>1550</v>
      </c>
      <c r="AB82" s="158">
        <f>'[1]TTM Orignal - With Levers'!I64</f>
        <v>1550</v>
      </c>
      <c r="AC82" s="219">
        <v>0</v>
      </c>
      <c r="AD82" s="88"/>
      <c r="AE82" s="221">
        <f t="shared" si="55"/>
        <v>1550</v>
      </c>
      <c r="AF82" s="158">
        <f>'[1]TTM Orignal - With Levers'!J64</f>
        <v>1550</v>
      </c>
      <c r="AG82" s="219">
        <v>0</v>
      </c>
      <c r="AH82" s="88"/>
      <c r="AI82" s="221">
        <f t="shared" si="56"/>
        <v>1550</v>
      </c>
      <c r="AJ82" s="158">
        <f>'[1]TTM Orignal - With Levers'!K64</f>
        <v>1550</v>
      </c>
      <c r="AK82" s="219">
        <v>0</v>
      </c>
      <c r="AL82" s="88"/>
      <c r="AM82" s="221">
        <f t="shared" si="57"/>
        <v>1550</v>
      </c>
      <c r="AN82" s="158">
        <f>'[1]TTM Orignal - With Levers'!L64</f>
        <v>1550</v>
      </c>
      <c r="AO82" s="219">
        <v>0</v>
      </c>
      <c r="AP82" s="88"/>
      <c r="AQ82" s="221">
        <f t="shared" si="58"/>
        <v>1550</v>
      </c>
      <c r="AR82" s="158">
        <f>'[1]TTM Orignal - With Levers'!M64</f>
        <v>1550</v>
      </c>
      <c r="AS82" s="219">
        <v>0</v>
      </c>
      <c r="AT82" s="88"/>
      <c r="AU82" s="221">
        <f t="shared" si="59"/>
        <v>1550</v>
      </c>
      <c r="AV82" s="158">
        <f>'[1]TTM Orignal - With Levers'!N64</f>
        <v>1550</v>
      </c>
      <c r="AW82" s="219">
        <v>0</v>
      </c>
      <c r="AX82" s="88"/>
      <c r="AY82" s="76">
        <f t="shared" ref="AY82:AY88" si="65">SUM(C82:AU82)</f>
        <v>35650</v>
      </c>
      <c r="AZ82" s="292">
        <f>'[1]TTM Orignal - With Levers'!V64</f>
        <v>18600</v>
      </c>
      <c r="BA82" s="319">
        <f t="shared" si="61"/>
        <v>18600</v>
      </c>
      <c r="BB82" s="318">
        <f t="shared" si="62"/>
        <v>18600</v>
      </c>
      <c r="BC82" s="317">
        <v>0</v>
      </c>
      <c r="BE82" s="208">
        <f t="shared" si="63"/>
        <v>18600</v>
      </c>
      <c r="BF82" s="207">
        <f t="shared" si="64"/>
        <v>18600</v>
      </c>
    </row>
    <row r="83" spans="1:59" x14ac:dyDescent="0.3">
      <c r="A83" s="176">
        <v>6230</v>
      </c>
      <c r="B83" s="75" t="s">
        <v>86</v>
      </c>
      <c r="C83" s="221">
        <f t="shared" si="48"/>
        <v>225</v>
      </c>
      <c r="D83" s="158">
        <f>'[1]TTM Orignal - With Levers'!C65</f>
        <v>225</v>
      </c>
      <c r="E83" s="219">
        <v>0</v>
      </c>
      <c r="F83" s="88"/>
      <c r="G83" s="221">
        <f t="shared" si="49"/>
        <v>225</v>
      </c>
      <c r="H83" s="158">
        <f>'[1]TTM Orignal - With Levers'!D65</f>
        <v>225</v>
      </c>
      <c r="I83" s="219">
        <v>0</v>
      </c>
      <c r="J83" s="88"/>
      <c r="K83" s="221">
        <f t="shared" si="50"/>
        <v>225</v>
      </c>
      <c r="L83" s="158">
        <f>'[1]TTM Orignal - With Levers'!E65</f>
        <v>225</v>
      </c>
      <c r="M83" s="219">
        <v>0</v>
      </c>
      <c r="N83" s="88"/>
      <c r="O83" s="221">
        <f t="shared" si="51"/>
        <v>225</v>
      </c>
      <c r="P83" s="158">
        <f>'[1]TTM Orignal - With Levers'!F65</f>
        <v>225</v>
      </c>
      <c r="Q83" s="219">
        <v>0</v>
      </c>
      <c r="R83" s="88"/>
      <c r="S83" s="221">
        <f t="shared" si="52"/>
        <v>225</v>
      </c>
      <c r="T83" s="158">
        <f>'[1]TTM Orignal - With Levers'!G65</f>
        <v>225</v>
      </c>
      <c r="U83" s="219">
        <v>0</v>
      </c>
      <c r="V83" s="88"/>
      <c r="W83" s="221">
        <f t="shared" si="53"/>
        <v>225</v>
      </c>
      <c r="X83" s="158">
        <f>'[1]TTM Orignal - With Levers'!H65</f>
        <v>225</v>
      </c>
      <c r="Y83" s="219">
        <v>0</v>
      </c>
      <c r="Z83" s="88"/>
      <c r="AA83" s="221">
        <f t="shared" si="54"/>
        <v>225</v>
      </c>
      <c r="AB83" s="158">
        <f>'[1]TTM Orignal - With Levers'!I65</f>
        <v>225</v>
      </c>
      <c r="AC83" s="219">
        <v>0</v>
      </c>
      <c r="AD83" s="88"/>
      <c r="AE83" s="221">
        <f t="shared" si="55"/>
        <v>225</v>
      </c>
      <c r="AF83" s="158">
        <f>'[1]TTM Orignal - With Levers'!J65</f>
        <v>225</v>
      </c>
      <c r="AG83" s="219">
        <v>0</v>
      </c>
      <c r="AH83" s="88"/>
      <c r="AI83" s="221">
        <f t="shared" si="56"/>
        <v>225</v>
      </c>
      <c r="AJ83" s="158">
        <f>'[1]TTM Orignal - With Levers'!K65</f>
        <v>225</v>
      </c>
      <c r="AK83" s="219">
        <v>0</v>
      </c>
      <c r="AL83" s="88"/>
      <c r="AM83" s="221">
        <f t="shared" si="57"/>
        <v>225</v>
      </c>
      <c r="AN83" s="158">
        <f>'[1]TTM Orignal - With Levers'!L65</f>
        <v>225</v>
      </c>
      <c r="AO83" s="219">
        <v>0</v>
      </c>
      <c r="AP83" s="88"/>
      <c r="AQ83" s="221">
        <f t="shared" si="58"/>
        <v>225</v>
      </c>
      <c r="AR83" s="158">
        <f>'[1]TTM Orignal - With Levers'!M65</f>
        <v>225</v>
      </c>
      <c r="AS83" s="219">
        <v>0</v>
      </c>
      <c r="AT83" s="88"/>
      <c r="AU83" s="221">
        <f t="shared" si="59"/>
        <v>225</v>
      </c>
      <c r="AV83" s="158">
        <f>'[1]TTM Orignal - With Levers'!N65</f>
        <v>225</v>
      </c>
      <c r="AW83" s="219">
        <v>0</v>
      </c>
      <c r="AX83" s="88"/>
      <c r="AY83" s="76">
        <f t="shared" si="65"/>
        <v>5175</v>
      </c>
      <c r="AZ83" s="292">
        <f>'[1]TTM Orignal - With Levers'!V65</f>
        <v>2700</v>
      </c>
      <c r="BA83" s="319">
        <f t="shared" si="61"/>
        <v>2700</v>
      </c>
      <c r="BB83" s="318">
        <f t="shared" si="62"/>
        <v>2700</v>
      </c>
      <c r="BC83" s="317">
        <v>0</v>
      </c>
      <c r="BE83" s="208">
        <f t="shared" si="63"/>
        <v>2700</v>
      </c>
      <c r="BF83" s="207">
        <f t="shared" si="64"/>
        <v>2700</v>
      </c>
    </row>
    <row r="84" spans="1:59" x14ac:dyDescent="0.3">
      <c r="A84" s="178">
        <v>6240</v>
      </c>
      <c r="B84" s="75" t="s">
        <v>87</v>
      </c>
      <c r="C84" s="221">
        <f t="shared" si="48"/>
        <v>0</v>
      </c>
      <c r="D84" s="221">
        <f>'[1]TTM Orignal - With Levers'!C66</f>
        <v>0</v>
      </c>
      <c r="E84" s="219">
        <v>0</v>
      </c>
      <c r="F84" s="159"/>
      <c r="G84" s="221">
        <f t="shared" si="49"/>
        <v>0</v>
      </c>
      <c r="H84" s="158">
        <f>'[1]TTM Orignal - With Levers'!D66</f>
        <v>0</v>
      </c>
      <c r="I84" s="219">
        <v>0</v>
      </c>
      <c r="J84" s="159"/>
      <c r="K84" s="221">
        <f t="shared" si="50"/>
        <v>1200</v>
      </c>
      <c r="L84" s="158">
        <f>'[1]TTM Orignal - With Levers'!E66</f>
        <v>1200</v>
      </c>
      <c r="M84" s="219">
        <v>0</v>
      </c>
      <c r="N84" s="159"/>
      <c r="O84" s="221">
        <f t="shared" si="51"/>
        <v>450</v>
      </c>
      <c r="P84" s="158">
        <f>'[1]TTM Orignal - With Levers'!F66</f>
        <v>450</v>
      </c>
      <c r="Q84" s="219">
        <v>0</v>
      </c>
      <c r="R84" s="159"/>
      <c r="S84" s="221">
        <f t="shared" si="52"/>
        <v>0</v>
      </c>
      <c r="T84" s="158">
        <f>'[1]TTM Orignal - With Levers'!G66</f>
        <v>0</v>
      </c>
      <c r="U84" s="219">
        <v>0</v>
      </c>
      <c r="V84" s="159"/>
      <c r="W84" s="221">
        <f t="shared" si="53"/>
        <v>600</v>
      </c>
      <c r="X84" s="158">
        <f>'[1]TTM Orignal - With Levers'!H66</f>
        <v>600</v>
      </c>
      <c r="Y84" s="219">
        <v>0</v>
      </c>
      <c r="Z84" s="159"/>
      <c r="AA84" s="221">
        <f t="shared" si="54"/>
        <v>0</v>
      </c>
      <c r="AB84" s="158">
        <f>'[1]TTM Orignal - With Levers'!I66</f>
        <v>0</v>
      </c>
      <c r="AC84" s="219">
        <v>0</v>
      </c>
      <c r="AD84" s="159"/>
      <c r="AE84" s="221">
        <f t="shared" si="55"/>
        <v>0</v>
      </c>
      <c r="AF84" s="158">
        <f>'[1]TTM Orignal - With Levers'!J66</f>
        <v>0</v>
      </c>
      <c r="AG84" s="219">
        <v>0</v>
      </c>
      <c r="AH84" s="159"/>
      <c r="AI84" s="221">
        <f t="shared" si="56"/>
        <v>1600</v>
      </c>
      <c r="AJ84" s="158">
        <f>'[1]TTM Orignal - With Levers'!K66</f>
        <v>1600</v>
      </c>
      <c r="AK84" s="219">
        <v>0</v>
      </c>
      <c r="AL84" s="159"/>
      <c r="AM84" s="221">
        <f t="shared" si="57"/>
        <v>0</v>
      </c>
      <c r="AN84" s="158">
        <f>'[1]TTM Orignal - With Levers'!L66</f>
        <v>0</v>
      </c>
      <c r="AO84" s="219">
        <v>0</v>
      </c>
      <c r="AP84" s="159"/>
      <c r="AQ84" s="221">
        <f t="shared" si="58"/>
        <v>0</v>
      </c>
      <c r="AR84" s="158">
        <f>'[1]TTM Orignal - With Levers'!M66</f>
        <v>0</v>
      </c>
      <c r="AS84" s="219">
        <v>0</v>
      </c>
      <c r="AT84" s="159"/>
      <c r="AU84" s="221">
        <f t="shared" si="59"/>
        <v>0</v>
      </c>
      <c r="AV84" s="158">
        <f>'[1]TTM Orignal - With Levers'!N66</f>
        <v>0</v>
      </c>
      <c r="AW84" s="219">
        <v>0</v>
      </c>
      <c r="AX84" s="159"/>
      <c r="AY84" s="76">
        <f t="shared" si="65"/>
        <v>7700</v>
      </c>
      <c r="AZ84" s="292">
        <f>'[1]TTM Orignal - With Levers'!V66</f>
        <v>3850</v>
      </c>
      <c r="BA84" s="319">
        <f t="shared" si="61"/>
        <v>3850</v>
      </c>
      <c r="BB84" s="318">
        <f t="shared" si="62"/>
        <v>3850</v>
      </c>
      <c r="BC84" s="317">
        <v>0</v>
      </c>
      <c r="BE84" s="208">
        <f t="shared" si="63"/>
        <v>3850</v>
      </c>
      <c r="BF84" s="207">
        <f t="shared" si="64"/>
        <v>3850</v>
      </c>
    </row>
    <row r="85" spans="1:59" x14ac:dyDescent="0.3">
      <c r="A85" s="176">
        <v>6250</v>
      </c>
      <c r="B85" s="75" t="s">
        <v>88</v>
      </c>
      <c r="C85" s="221">
        <f t="shared" si="48"/>
        <v>910</v>
      </c>
      <c r="D85" s="158">
        <f>'[1]TTM Orignal - With Levers'!C67</f>
        <v>910</v>
      </c>
      <c r="E85" s="219">
        <v>0</v>
      </c>
      <c r="F85" s="160"/>
      <c r="G85" s="221">
        <f t="shared" si="49"/>
        <v>180</v>
      </c>
      <c r="H85" s="158">
        <f>'[1]TTM Orignal - With Levers'!D67</f>
        <v>180</v>
      </c>
      <c r="I85" s="219">
        <v>0</v>
      </c>
      <c r="J85" s="160"/>
      <c r="K85" s="221">
        <f t="shared" si="50"/>
        <v>360</v>
      </c>
      <c r="L85" s="158">
        <f>'[1]TTM Orignal - With Levers'!E67</f>
        <v>360</v>
      </c>
      <c r="M85" s="219">
        <v>0</v>
      </c>
      <c r="N85" s="160"/>
      <c r="O85" s="221">
        <f t="shared" si="51"/>
        <v>150</v>
      </c>
      <c r="P85" s="158">
        <f>'[1]TTM Orignal - With Levers'!F67</f>
        <v>150</v>
      </c>
      <c r="Q85" s="219">
        <v>0</v>
      </c>
      <c r="R85" s="160"/>
      <c r="S85" s="221">
        <f t="shared" si="52"/>
        <v>250</v>
      </c>
      <c r="T85" s="158">
        <f>'[1]TTM Orignal - With Levers'!G67</f>
        <v>250</v>
      </c>
      <c r="U85" s="219">
        <v>0</v>
      </c>
      <c r="V85" s="160"/>
      <c r="W85" s="221">
        <f t="shared" si="53"/>
        <v>250</v>
      </c>
      <c r="X85" s="158">
        <f>'[1]TTM Orignal - With Levers'!H67</f>
        <v>250</v>
      </c>
      <c r="Y85" s="219">
        <v>0</v>
      </c>
      <c r="Z85" s="160"/>
      <c r="AA85" s="221">
        <f t="shared" si="54"/>
        <v>220</v>
      </c>
      <c r="AB85" s="158">
        <f>'[1]TTM Orignal - With Levers'!I67</f>
        <v>220</v>
      </c>
      <c r="AC85" s="219">
        <v>0</v>
      </c>
      <c r="AD85" s="160"/>
      <c r="AE85" s="221">
        <f t="shared" si="55"/>
        <v>325</v>
      </c>
      <c r="AF85" s="158">
        <f>'[1]TTM Orignal - With Levers'!J67</f>
        <v>325</v>
      </c>
      <c r="AG85" s="219">
        <v>0</v>
      </c>
      <c r="AH85" s="160"/>
      <c r="AI85" s="221">
        <f t="shared" si="56"/>
        <v>130</v>
      </c>
      <c r="AJ85" s="158">
        <f>'[1]TTM Orignal - With Levers'!K67</f>
        <v>130</v>
      </c>
      <c r="AK85" s="219">
        <v>0</v>
      </c>
      <c r="AL85" s="160"/>
      <c r="AM85" s="221">
        <f t="shared" si="57"/>
        <v>900</v>
      </c>
      <c r="AN85" s="158">
        <f>'[1]TTM Orignal - With Levers'!L67</f>
        <v>900</v>
      </c>
      <c r="AO85" s="219">
        <v>0</v>
      </c>
      <c r="AP85" s="160"/>
      <c r="AQ85" s="221">
        <f t="shared" si="58"/>
        <v>1020</v>
      </c>
      <c r="AR85" s="158">
        <f>'[1]TTM Orignal - With Levers'!M67</f>
        <v>1020</v>
      </c>
      <c r="AS85" s="219">
        <v>0</v>
      </c>
      <c r="AT85" s="160"/>
      <c r="AU85" s="221">
        <f t="shared" si="59"/>
        <v>175</v>
      </c>
      <c r="AV85" s="158">
        <f>'[1]TTM Orignal - With Levers'!N67</f>
        <v>175</v>
      </c>
      <c r="AW85" s="219">
        <v>0</v>
      </c>
      <c r="AX85" s="160"/>
      <c r="AY85" s="76">
        <f t="shared" si="65"/>
        <v>9565</v>
      </c>
      <c r="AZ85" s="292">
        <f>'[1]TTM Orignal - With Levers'!V67</f>
        <v>4870</v>
      </c>
      <c r="BA85" s="319">
        <f t="shared" si="61"/>
        <v>4870</v>
      </c>
      <c r="BB85" s="318">
        <f t="shared" si="62"/>
        <v>4870</v>
      </c>
      <c r="BC85" s="317">
        <v>0</v>
      </c>
      <c r="BE85" s="208">
        <f t="shared" si="63"/>
        <v>4870</v>
      </c>
      <c r="BF85" s="207">
        <f t="shared" si="64"/>
        <v>4870</v>
      </c>
    </row>
    <row r="86" spans="1:59" x14ac:dyDescent="0.3">
      <c r="A86" s="178">
        <v>6260</v>
      </c>
      <c r="B86" s="91" t="s">
        <v>89</v>
      </c>
      <c r="C86" s="221">
        <f t="shared" si="48"/>
        <v>1250</v>
      </c>
      <c r="D86" s="158">
        <f>'[1]TTM Orignal - With Levers'!C68</f>
        <v>1250</v>
      </c>
      <c r="E86" s="219">
        <v>0</v>
      </c>
      <c r="F86" s="159"/>
      <c r="G86" s="221">
        <f t="shared" si="49"/>
        <v>1250</v>
      </c>
      <c r="H86" s="158">
        <f>'[1]TTM Orignal - With Levers'!D68</f>
        <v>1250</v>
      </c>
      <c r="I86" s="219">
        <v>0</v>
      </c>
      <c r="J86" s="159"/>
      <c r="K86" s="221">
        <f t="shared" si="50"/>
        <v>1250</v>
      </c>
      <c r="L86" s="158">
        <f>'[1]TTM Orignal - With Levers'!E68</f>
        <v>1250</v>
      </c>
      <c r="M86" s="219">
        <v>0</v>
      </c>
      <c r="N86" s="159"/>
      <c r="O86" s="221">
        <f t="shared" si="51"/>
        <v>1250</v>
      </c>
      <c r="P86" s="158">
        <f>'[1]TTM Orignal - With Levers'!F68</f>
        <v>1250</v>
      </c>
      <c r="Q86" s="219">
        <v>0</v>
      </c>
      <c r="R86" s="159"/>
      <c r="S86" s="221">
        <f t="shared" si="52"/>
        <v>1250</v>
      </c>
      <c r="T86" s="158">
        <f>'[1]TTM Orignal - With Levers'!G68</f>
        <v>1250</v>
      </c>
      <c r="U86" s="219">
        <v>0</v>
      </c>
      <c r="V86" s="159"/>
      <c r="W86" s="221">
        <f t="shared" si="53"/>
        <v>1250</v>
      </c>
      <c r="X86" s="158">
        <f>'[1]TTM Orignal - With Levers'!H68</f>
        <v>1250</v>
      </c>
      <c r="Y86" s="219">
        <v>0</v>
      </c>
      <c r="Z86" s="159"/>
      <c r="AA86" s="221">
        <f t="shared" si="54"/>
        <v>1250</v>
      </c>
      <c r="AB86" s="158">
        <f>'[1]TTM Orignal - With Levers'!I68</f>
        <v>1250</v>
      </c>
      <c r="AC86" s="219">
        <v>0</v>
      </c>
      <c r="AD86" s="159"/>
      <c r="AE86" s="221">
        <f t="shared" si="55"/>
        <v>1250</v>
      </c>
      <c r="AF86" s="158">
        <f>'[1]TTM Orignal - With Levers'!J68</f>
        <v>1250</v>
      </c>
      <c r="AG86" s="219">
        <v>0</v>
      </c>
      <c r="AH86" s="159"/>
      <c r="AI86" s="221">
        <f t="shared" si="56"/>
        <v>1250</v>
      </c>
      <c r="AJ86" s="158">
        <f>'[1]TTM Orignal - With Levers'!K68</f>
        <v>1250</v>
      </c>
      <c r="AK86" s="219">
        <v>0</v>
      </c>
      <c r="AL86" s="159"/>
      <c r="AM86" s="221">
        <f t="shared" si="57"/>
        <v>1250</v>
      </c>
      <c r="AN86" s="158">
        <f>'[1]TTM Orignal - With Levers'!L68</f>
        <v>1250</v>
      </c>
      <c r="AO86" s="219">
        <v>0</v>
      </c>
      <c r="AP86" s="159"/>
      <c r="AQ86" s="221">
        <f t="shared" si="58"/>
        <v>1250</v>
      </c>
      <c r="AR86" s="158">
        <f>'[1]TTM Orignal - With Levers'!M68</f>
        <v>1250</v>
      </c>
      <c r="AS86" s="219">
        <v>0</v>
      </c>
      <c r="AT86" s="159"/>
      <c r="AU86" s="221">
        <f t="shared" si="59"/>
        <v>1250</v>
      </c>
      <c r="AV86" s="158">
        <f>'[1]TTM Orignal - With Levers'!N68</f>
        <v>1250</v>
      </c>
      <c r="AW86" s="219">
        <v>0</v>
      </c>
      <c r="AX86" s="159"/>
      <c r="AY86" s="76">
        <f t="shared" si="65"/>
        <v>28750</v>
      </c>
      <c r="AZ86" s="292">
        <f>'[1]TTM Orignal - With Levers'!V68</f>
        <v>15000</v>
      </c>
      <c r="BA86" s="319">
        <f t="shared" si="61"/>
        <v>15000</v>
      </c>
      <c r="BB86" s="318">
        <f t="shared" si="62"/>
        <v>15000</v>
      </c>
      <c r="BC86" s="317">
        <v>0</v>
      </c>
      <c r="BE86" s="208">
        <f t="shared" si="63"/>
        <v>15000</v>
      </c>
      <c r="BF86" s="207">
        <f t="shared" si="64"/>
        <v>15000</v>
      </c>
    </row>
    <row r="87" spans="1:59" x14ac:dyDescent="0.3">
      <c r="A87" s="176">
        <v>6270</v>
      </c>
      <c r="B87" s="91" t="s">
        <v>90</v>
      </c>
      <c r="C87" s="221">
        <f t="shared" si="48"/>
        <v>667</v>
      </c>
      <c r="D87" s="158">
        <f>'[1]TTM Orignal - With Levers'!C69</f>
        <v>667</v>
      </c>
      <c r="E87" s="219">
        <v>0</v>
      </c>
      <c r="F87" s="161"/>
      <c r="G87" s="221">
        <f t="shared" si="49"/>
        <v>667</v>
      </c>
      <c r="H87" s="158">
        <f>'[1]TTM Orignal - With Levers'!D69</f>
        <v>667</v>
      </c>
      <c r="I87" s="219">
        <v>0</v>
      </c>
      <c r="J87" s="161"/>
      <c r="K87" s="221">
        <f t="shared" si="50"/>
        <v>667</v>
      </c>
      <c r="L87" s="158">
        <f>'[1]TTM Orignal - With Levers'!E69</f>
        <v>667</v>
      </c>
      <c r="M87" s="219">
        <v>0</v>
      </c>
      <c r="N87" s="161"/>
      <c r="O87" s="221">
        <f t="shared" si="51"/>
        <v>667</v>
      </c>
      <c r="P87" s="158">
        <f>'[1]TTM Orignal - With Levers'!F69</f>
        <v>667</v>
      </c>
      <c r="Q87" s="219">
        <v>0</v>
      </c>
      <c r="R87" s="161"/>
      <c r="S87" s="221">
        <f t="shared" si="52"/>
        <v>667</v>
      </c>
      <c r="T87" s="158">
        <f>'[1]TTM Orignal - With Levers'!G69</f>
        <v>667</v>
      </c>
      <c r="U87" s="219">
        <v>0</v>
      </c>
      <c r="V87" s="161"/>
      <c r="W87" s="221">
        <f t="shared" si="53"/>
        <v>667</v>
      </c>
      <c r="X87" s="158">
        <f>'[1]TTM Orignal - With Levers'!H69</f>
        <v>667</v>
      </c>
      <c r="Y87" s="219">
        <v>0</v>
      </c>
      <c r="Z87" s="161"/>
      <c r="AA87" s="221">
        <f t="shared" si="54"/>
        <v>667</v>
      </c>
      <c r="AB87" s="158">
        <f>'[1]TTM Orignal - With Levers'!I69</f>
        <v>667</v>
      </c>
      <c r="AC87" s="219">
        <v>0</v>
      </c>
      <c r="AD87" s="161"/>
      <c r="AE87" s="221">
        <f t="shared" si="55"/>
        <v>667</v>
      </c>
      <c r="AF87" s="158">
        <f>'[1]TTM Orignal - With Levers'!J69</f>
        <v>667</v>
      </c>
      <c r="AG87" s="219">
        <v>0</v>
      </c>
      <c r="AH87" s="161"/>
      <c r="AI87" s="221">
        <f t="shared" si="56"/>
        <v>667</v>
      </c>
      <c r="AJ87" s="158">
        <f>'[1]TTM Orignal - With Levers'!K69</f>
        <v>667</v>
      </c>
      <c r="AK87" s="219">
        <v>0</v>
      </c>
      <c r="AL87" s="161"/>
      <c r="AM87" s="221">
        <f t="shared" si="57"/>
        <v>667</v>
      </c>
      <c r="AN87" s="158">
        <f>'[1]TTM Orignal - With Levers'!L69</f>
        <v>667</v>
      </c>
      <c r="AO87" s="219">
        <v>0</v>
      </c>
      <c r="AP87" s="161"/>
      <c r="AQ87" s="221">
        <f t="shared" si="58"/>
        <v>667</v>
      </c>
      <c r="AR87" s="158">
        <f>'[1]TTM Orignal - With Levers'!M69</f>
        <v>667</v>
      </c>
      <c r="AS87" s="219">
        <v>0</v>
      </c>
      <c r="AT87" s="161"/>
      <c r="AU87" s="221">
        <f t="shared" si="59"/>
        <v>667</v>
      </c>
      <c r="AV87" s="158">
        <f>'[1]TTM Orignal - With Levers'!N69</f>
        <v>667</v>
      </c>
      <c r="AW87" s="219">
        <v>0</v>
      </c>
      <c r="AX87" s="161"/>
      <c r="AY87" s="76">
        <f t="shared" si="65"/>
        <v>15341</v>
      </c>
      <c r="AZ87" s="292">
        <f>'[1]TTM Orignal - With Levers'!V69</f>
        <v>8004</v>
      </c>
      <c r="BA87" s="319">
        <f t="shared" si="61"/>
        <v>8004</v>
      </c>
      <c r="BB87" s="318">
        <f t="shared" si="62"/>
        <v>8004</v>
      </c>
      <c r="BC87" s="317">
        <v>0</v>
      </c>
      <c r="BE87" s="208">
        <f t="shared" si="63"/>
        <v>8004</v>
      </c>
      <c r="BF87" s="207">
        <f t="shared" si="64"/>
        <v>8004</v>
      </c>
    </row>
    <row r="88" spans="1:59" x14ac:dyDescent="0.3">
      <c r="A88" s="178">
        <v>6280</v>
      </c>
      <c r="B88" s="95" t="s">
        <v>91</v>
      </c>
      <c r="C88" s="221">
        <f t="shared" si="48"/>
        <v>0</v>
      </c>
      <c r="D88" s="158">
        <f>'[1]TTM Orignal - With Levers'!C70</f>
        <v>0</v>
      </c>
      <c r="E88" s="219">
        <v>0</v>
      </c>
      <c r="F88" s="162"/>
      <c r="G88" s="221">
        <f t="shared" si="49"/>
        <v>0</v>
      </c>
      <c r="H88" s="158">
        <f>'[1]TTM Orignal - With Levers'!D70</f>
        <v>0</v>
      </c>
      <c r="I88" s="219">
        <v>0</v>
      </c>
      <c r="J88" s="162"/>
      <c r="K88" s="221">
        <f t="shared" si="50"/>
        <v>1700</v>
      </c>
      <c r="L88" s="158">
        <f>'[1]TTM Orignal - With Levers'!E70</f>
        <v>1700</v>
      </c>
      <c r="M88" s="219">
        <v>0</v>
      </c>
      <c r="N88" s="162"/>
      <c r="O88" s="162" t="s">
        <v>128</v>
      </c>
      <c r="P88" s="158">
        <f>'[1]TTM Orignal - With Levers'!F70</f>
        <v>0</v>
      </c>
      <c r="Q88" s="219">
        <v>0</v>
      </c>
      <c r="R88" s="162"/>
      <c r="S88" s="221">
        <f t="shared" si="52"/>
        <v>0</v>
      </c>
      <c r="T88" s="158">
        <f>'[1]TTM Orignal - With Levers'!G70</f>
        <v>0</v>
      </c>
      <c r="U88" s="219">
        <v>0</v>
      </c>
      <c r="V88" s="162"/>
      <c r="W88" s="221">
        <f t="shared" si="53"/>
        <v>2800</v>
      </c>
      <c r="X88" s="158">
        <f>'[1]TTM Orignal - With Levers'!H70</f>
        <v>2800</v>
      </c>
      <c r="Y88" s="219">
        <v>0</v>
      </c>
      <c r="Z88" s="162"/>
      <c r="AA88" s="221">
        <f t="shared" si="54"/>
        <v>0</v>
      </c>
      <c r="AB88" s="158">
        <f>'[1]TTM Orignal - With Levers'!I70</f>
        <v>0</v>
      </c>
      <c r="AC88" s="219">
        <v>0</v>
      </c>
      <c r="AD88" s="162"/>
      <c r="AE88" s="221">
        <f t="shared" si="55"/>
        <v>0</v>
      </c>
      <c r="AF88" s="158">
        <f>'[1]TTM Orignal - With Levers'!J70</f>
        <v>0</v>
      </c>
      <c r="AG88" s="219">
        <v>0</v>
      </c>
      <c r="AH88" s="162"/>
      <c r="AI88" s="221">
        <f t="shared" si="56"/>
        <v>2500</v>
      </c>
      <c r="AJ88" s="158">
        <f>'[1]TTM Orignal - With Levers'!K70</f>
        <v>2500</v>
      </c>
      <c r="AK88" s="219">
        <v>0</v>
      </c>
      <c r="AL88" s="162"/>
      <c r="AM88" s="221">
        <f t="shared" si="57"/>
        <v>0</v>
      </c>
      <c r="AN88" s="158">
        <f>'[1]TTM Orignal - With Levers'!L70</f>
        <v>0</v>
      </c>
      <c r="AO88" s="219">
        <v>0</v>
      </c>
      <c r="AP88" s="162"/>
      <c r="AQ88" s="221">
        <f t="shared" si="58"/>
        <v>0</v>
      </c>
      <c r="AR88" s="158">
        <f>'[1]TTM Orignal - With Levers'!M70</f>
        <v>0</v>
      </c>
      <c r="AS88" s="219">
        <v>0</v>
      </c>
      <c r="AT88" s="162"/>
      <c r="AU88" s="221">
        <f t="shared" si="59"/>
        <v>0</v>
      </c>
      <c r="AV88" s="158">
        <f>'[1]TTM Orignal - With Levers'!N70</f>
        <v>0</v>
      </c>
      <c r="AW88" s="219">
        <v>0</v>
      </c>
      <c r="AX88" s="162"/>
      <c r="AY88" s="97">
        <f t="shared" si="65"/>
        <v>14000</v>
      </c>
      <c r="AZ88" s="292">
        <f>'[1]TTM Orignal - With Levers'!V70</f>
        <v>7000</v>
      </c>
      <c r="BA88" s="319">
        <f t="shared" si="61"/>
        <v>7000</v>
      </c>
      <c r="BB88" s="318">
        <f t="shared" si="62"/>
        <v>7000</v>
      </c>
      <c r="BC88" s="317">
        <v>0</v>
      </c>
      <c r="BE88" s="208">
        <f t="shared" si="63"/>
        <v>7000</v>
      </c>
      <c r="BF88" s="207">
        <f t="shared" si="64"/>
        <v>7000</v>
      </c>
    </row>
    <row r="89" spans="1:59" ht="15" thickBot="1" x14ac:dyDescent="0.35">
      <c r="A89" s="178"/>
      <c r="B89" s="98" t="s">
        <v>92</v>
      </c>
      <c r="C89" s="69">
        <f>SUM(C71:C88)</f>
        <v>21652.264818655112</v>
      </c>
      <c r="D89" s="69"/>
      <c r="E89" s="69"/>
      <c r="F89" s="69"/>
      <c r="G89" s="69">
        <f>SUM(G71:G88)</f>
        <v>18071.003891205259</v>
      </c>
      <c r="H89" s="69"/>
      <c r="I89" s="69"/>
      <c r="J89" s="69"/>
      <c r="K89" s="69">
        <f>SUM(K71:K88)</f>
        <v>22176.146124251351</v>
      </c>
      <c r="L89" s="69"/>
      <c r="M89" s="69"/>
      <c r="N89" s="69"/>
      <c r="O89" s="69">
        <f>SUM(O71:O88)</f>
        <v>18612.52341357122</v>
      </c>
      <c r="P89" s="69"/>
      <c r="Q89" s="69"/>
      <c r="R89" s="69"/>
      <c r="S89" s="69">
        <f>SUM(S71:S88)</f>
        <v>17088.705354161895</v>
      </c>
      <c r="T89" s="69"/>
      <c r="U89" s="69"/>
      <c r="V89" s="69"/>
      <c r="W89" s="69">
        <f>SUM(W71:W88)</f>
        <v>22252.496767965786</v>
      </c>
      <c r="X89" s="69"/>
      <c r="Y89" s="69"/>
      <c r="Z89" s="69"/>
      <c r="AA89" s="69">
        <f>SUM(AA71:AA88)</f>
        <v>19200.830359174426</v>
      </c>
      <c r="AB89" s="69"/>
      <c r="AC89" s="69"/>
      <c r="AD89" s="69"/>
      <c r="AE89" s="69">
        <f>SUM(AE71:AE88)</f>
        <v>20869.582167181507</v>
      </c>
      <c r="AF89" s="69"/>
      <c r="AG89" s="69"/>
      <c r="AH89" s="69"/>
      <c r="AI89" s="69">
        <f>SUM(AI71:AI88)</f>
        <v>23507.27016061862</v>
      </c>
      <c r="AJ89" s="69"/>
      <c r="AK89" s="69"/>
      <c r="AL89" s="69"/>
      <c r="AM89" s="69">
        <f>SUM(AM71:AM88)</f>
        <v>26634.924515229064</v>
      </c>
      <c r="AN89" s="69"/>
      <c r="AO89" s="69"/>
      <c r="AP89" s="69"/>
      <c r="AQ89" s="69">
        <f>SUM(AQ71:AQ88)</f>
        <v>25286.714641537343</v>
      </c>
      <c r="AR89" s="69"/>
      <c r="AS89" s="69"/>
      <c r="AT89" s="69"/>
      <c r="AU89" s="69">
        <f>SUM(AU71:AU88)</f>
        <v>21152.517437176823</v>
      </c>
      <c r="AV89" s="69"/>
      <c r="AW89" s="69"/>
      <c r="AX89" s="69"/>
      <c r="AY89" s="258">
        <f>SUM(AY71:AY88)</f>
        <v>465132.68333333335</v>
      </c>
      <c r="AZ89" s="293">
        <f>SUM(AZ71:AZ88)</f>
        <v>252860.97965072838</v>
      </c>
      <c r="BA89" s="321">
        <f>SUM(BA71:BA88)</f>
        <v>256504.97965072838</v>
      </c>
      <c r="BB89" s="69">
        <f>SUM(BB71:BB88)</f>
        <v>256504.97965072838</v>
      </c>
      <c r="BC89" s="148"/>
      <c r="BE89" s="69">
        <f>SUM(BE71:BE88)</f>
        <v>256504.97965072838</v>
      </c>
      <c r="BF89" s="69">
        <f>SUM(BF71:BF88)</f>
        <v>256504.97965072838</v>
      </c>
    </row>
    <row r="90" spans="1:59" ht="15" thickBot="1" x14ac:dyDescent="0.35">
      <c r="A90" s="176"/>
      <c r="B90" s="101" t="s">
        <v>93</v>
      </c>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3"/>
      <c r="BA90" s="103"/>
      <c r="BC90" s="196"/>
    </row>
    <row r="91" spans="1:59" x14ac:dyDescent="0.3">
      <c r="A91" s="176">
        <v>6310</v>
      </c>
      <c r="B91" s="104" t="s">
        <v>94</v>
      </c>
      <c r="C91" s="221">
        <f>D91+(D91*E91)</f>
        <v>1250</v>
      </c>
      <c r="D91" s="158">
        <f>'[1]TTM Orignal - With Levers'!C73</f>
        <v>1250</v>
      </c>
      <c r="E91" s="220">
        <v>0</v>
      </c>
      <c r="F91" s="96"/>
      <c r="G91" s="221">
        <f>H91+(H91*I91)</f>
        <v>1250</v>
      </c>
      <c r="H91" s="158">
        <f>'[1]TTM Orignal - With Levers'!D73</f>
        <v>1250</v>
      </c>
      <c r="I91" s="220">
        <v>0</v>
      </c>
      <c r="J91" s="96"/>
      <c r="K91" s="221">
        <f>L91+(L91*M91)</f>
        <v>1250</v>
      </c>
      <c r="L91" s="158">
        <f>'[1]TTM Orignal - With Levers'!E73</f>
        <v>1250</v>
      </c>
      <c r="M91" s="220">
        <v>0</v>
      </c>
      <c r="N91" s="96"/>
      <c r="O91" s="221">
        <f>P91+(P91*Q91)</f>
        <v>1250</v>
      </c>
      <c r="P91" s="158">
        <f>'[1]TTM Orignal - With Levers'!F73</f>
        <v>1250</v>
      </c>
      <c r="Q91" s="220">
        <v>0</v>
      </c>
      <c r="R91" s="96"/>
      <c r="S91" s="221">
        <f>T91+(T91*U91)</f>
        <v>1250</v>
      </c>
      <c r="T91" s="158">
        <f>'[1]TTM Orignal - With Levers'!G73</f>
        <v>1250</v>
      </c>
      <c r="U91" s="220">
        <v>0</v>
      </c>
      <c r="V91" s="96"/>
      <c r="W91" s="221">
        <f>X91+(X91*Y91)</f>
        <v>1250</v>
      </c>
      <c r="X91" s="158">
        <f>'[1]TTM Orignal - With Levers'!H73</f>
        <v>1250</v>
      </c>
      <c r="Y91" s="220">
        <v>0</v>
      </c>
      <c r="Z91" s="96"/>
      <c r="AA91" s="221">
        <f>AB91+(AB91*AC91)</f>
        <v>1250</v>
      </c>
      <c r="AB91" s="158">
        <f>'[1]TTM Orignal - With Levers'!I73</f>
        <v>1250</v>
      </c>
      <c r="AC91" s="220">
        <v>0</v>
      </c>
      <c r="AD91" s="96"/>
      <c r="AE91" s="221">
        <f>AF91+(AF91*AG91)</f>
        <v>1250</v>
      </c>
      <c r="AF91" s="158">
        <f>'[1]TTM Orignal - With Levers'!J73</f>
        <v>1250</v>
      </c>
      <c r="AG91" s="220">
        <v>0</v>
      </c>
      <c r="AH91" s="96"/>
      <c r="AI91" s="221">
        <f>AJ91+(AJ91*AK91)</f>
        <v>1250</v>
      </c>
      <c r="AJ91" s="158">
        <f>'[1]TTM Orignal - With Levers'!K73</f>
        <v>1250</v>
      </c>
      <c r="AK91" s="220">
        <v>0</v>
      </c>
      <c r="AL91" s="96"/>
      <c r="AM91" s="221">
        <f>AN91+(AN91*AO91)</f>
        <v>1250</v>
      </c>
      <c r="AN91" s="158">
        <f>'[1]TTM Orignal - With Levers'!L73</f>
        <v>1250</v>
      </c>
      <c r="AO91" s="220">
        <v>0</v>
      </c>
      <c r="AP91" s="96"/>
      <c r="AQ91" s="221">
        <f>AR91+(AR91*AS91)</f>
        <v>1250</v>
      </c>
      <c r="AR91" s="158">
        <f>'[1]TTM Orignal - With Levers'!M73</f>
        <v>1250</v>
      </c>
      <c r="AS91" s="220">
        <v>0</v>
      </c>
      <c r="AT91" s="96"/>
      <c r="AU91" s="221">
        <f>AV91+(AV91*AW91)</f>
        <v>1250</v>
      </c>
      <c r="AV91" s="158">
        <f>'[1]TTM Orignal - With Levers'!N73</f>
        <v>1250</v>
      </c>
      <c r="AW91" s="220">
        <v>0</v>
      </c>
      <c r="AX91" s="96"/>
      <c r="AY91" s="320">
        <f>SUM(C91:AU91)</f>
        <v>28750</v>
      </c>
      <c r="AZ91" s="291">
        <f>'[1]TTM Orignal - With Levers'!V73</f>
        <v>15000</v>
      </c>
      <c r="BA91" s="319">
        <f>SUM(C91,G91,K91,O91,S91,W91,AA91,AE91,AI91,AM91,AQ91,AU91)</f>
        <v>15000</v>
      </c>
      <c r="BB91" s="318">
        <f>BE91</f>
        <v>15000</v>
      </c>
      <c r="BC91" s="317">
        <v>0</v>
      </c>
      <c r="BE91" s="208">
        <f>(BA91+(BA91*BC91))</f>
        <v>15000</v>
      </c>
      <c r="BF91" s="207">
        <f>BA91</f>
        <v>15000</v>
      </c>
      <c r="BG91" s="12"/>
    </row>
    <row r="92" spans="1:59" x14ac:dyDescent="0.3">
      <c r="A92" s="175">
        <v>6320</v>
      </c>
      <c r="B92" s="104" t="s">
        <v>95</v>
      </c>
      <c r="C92" s="221">
        <f>D92+(D92*E92)</f>
        <v>2500</v>
      </c>
      <c r="D92" s="158">
        <f>'[1]TTM Orignal - With Levers'!C74</f>
        <v>2500</v>
      </c>
      <c r="E92" s="220">
        <v>0</v>
      </c>
      <c r="F92" s="96"/>
      <c r="G92" s="221">
        <f>H92+(H92*I92)</f>
        <v>2500</v>
      </c>
      <c r="H92" s="158">
        <f>'[1]TTM Orignal - With Levers'!D74</f>
        <v>2500</v>
      </c>
      <c r="I92" s="220">
        <v>0</v>
      </c>
      <c r="J92" s="96"/>
      <c r="K92" s="221">
        <f>L92+(L92*M92)</f>
        <v>2500</v>
      </c>
      <c r="L92" s="158">
        <f>'[1]TTM Orignal - With Levers'!E74</f>
        <v>2500</v>
      </c>
      <c r="M92" s="220">
        <v>0</v>
      </c>
      <c r="N92" s="96"/>
      <c r="O92" s="221">
        <f>P92+(P92*Q92)</f>
        <v>2500</v>
      </c>
      <c r="P92" s="158">
        <f>'[1]TTM Orignal - With Levers'!F74</f>
        <v>2500</v>
      </c>
      <c r="Q92" s="220">
        <v>0</v>
      </c>
      <c r="R92" s="96"/>
      <c r="S92" s="221">
        <f>T92+(T92*U92)</f>
        <v>2500</v>
      </c>
      <c r="T92" s="158">
        <f>'[1]TTM Orignal - With Levers'!G74</f>
        <v>2500</v>
      </c>
      <c r="U92" s="220">
        <v>0</v>
      </c>
      <c r="V92" s="96"/>
      <c r="W92" s="221">
        <f>X92+(X92*Y92)</f>
        <v>2500</v>
      </c>
      <c r="X92" s="158">
        <f>'[1]TTM Orignal - With Levers'!H74</f>
        <v>2500</v>
      </c>
      <c r="Y92" s="220">
        <v>0</v>
      </c>
      <c r="Z92" s="96"/>
      <c r="AA92" s="221">
        <f>AB92+(AB92*AC92)</f>
        <v>2500</v>
      </c>
      <c r="AB92" s="158">
        <f>'[1]TTM Orignal - With Levers'!I74</f>
        <v>2500</v>
      </c>
      <c r="AC92" s="220">
        <v>0</v>
      </c>
      <c r="AD92" s="96"/>
      <c r="AE92" s="221">
        <f>AF92+(AF92*AG92)</f>
        <v>2500</v>
      </c>
      <c r="AF92" s="158">
        <f>'[1]TTM Orignal - With Levers'!J74</f>
        <v>2500</v>
      </c>
      <c r="AG92" s="220">
        <v>0</v>
      </c>
      <c r="AH92" s="96"/>
      <c r="AI92" s="221">
        <f>AJ92+(AJ92*AK92)</f>
        <v>2500</v>
      </c>
      <c r="AJ92" s="158">
        <f>'[1]TTM Orignal - With Levers'!K74</f>
        <v>2500</v>
      </c>
      <c r="AK92" s="220">
        <v>0</v>
      </c>
      <c r="AL92" s="96"/>
      <c r="AM92" s="221">
        <f>AN92+(AN92*AO92)</f>
        <v>2500</v>
      </c>
      <c r="AN92" s="158">
        <f>'[1]TTM Orignal - With Levers'!L74</f>
        <v>2500</v>
      </c>
      <c r="AO92" s="220">
        <v>0</v>
      </c>
      <c r="AP92" s="96"/>
      <c r="AQ92" s="221">
        <f>AR92+(AR92*AS92)</f>
        <v>2500</v>
      </c>
      <c r="AR92" s="158">
        <f>'[1]TTM Orignal - With Levers'!M74</f>
        <v>2500</v>
      </c>
      <c r="AS92" s="220">
        <v>0</v>
      </c>
      <c r="AT92" s="96"/>
      <c r="AU92" s="221">
        <f>AV92+(AV92*AW92)</f>
        <v>2500</v>
      </c>
      <c r="AV92" s="158">
        <f>'[1]TTM Orignal - With Levers'!N74</f>
        <v>2500</v>
      </c>
      <c r="AW92" s="220">
        <v>0</v>
      </c>
      <c r="AX92" s="96"/>
      <c r="AY92" s="320">
        <f>SUM(C92:AU92)</f>
        <v>57500</v>
      </c>
      <c r="AZ92" s="292">
        <f>'[1]TTM Orignal - With Levers'!V74</f>
        <v>30000</v>
      </c>
      <c r="BA92" s="319">
        <f>SUM(C92,G92,K92,O92,S92,W92,AA92,AE92,AI92,AM92,AQ92,AU92)</f>
        <v>30000</v>
      </c>
      <c r="BB92" s="318">
        <f>BE92</f>
        <v>30000</v>
      </c>
      <c r="BC92" s="317">
        <v>0</v>
      </c>
      <c r="BE92" s="208">
        <f>(BA92+(BA92*BC92))</f>
        <v>30000</v>
      </c>
      <c r="BF92" s="207">
        <f>BA92</f>
        <v>30000</v>
      </c>
    </row>
    <row r="93" spans="1:59" x14ac:dyDescent="0.3">
      <c r="A93" s="176">
        <v>6330</v>
      </c>
      <c r="B93" s="104" t="s">
        <v>96</v>
      </c>
      <c r="C93" s="221">
        <f>D93+(D93*E93)</f>
        <v>1000</v>
      </c>
      <c r="D93" s="158">
        <f>'[1]TTM Orignal - With Levers'!C75</f>
        <v>1000</v>
      </c>
      <c r="E93" s="220">
        <v>0</v>
      </c>
      <c r="F93" s="96"/>
      <c r="G93" s="221">
        <f>H93+(H93*I93)</f>
        <v>1000</v>
      </c>
      <c r="H93" s="158">
        <f>'[1]TTM Orignal - With Levers'!D75</f>
        <v>1000</v>
      </c>
      <c r="I93" s="220">
        <v>0</v>
      </c>
      <c r="J93" s="96"/>
      <c r="K93" s="221">
        <f>L93+(L93*M93)</f>
        <v>1000</v>
      </c>
      <c r="L93" s="158">
        <f>'[1]TTM Orignal - With Levers'!E75</f>
        <v>1000</v>
      </c>
      <c r="M93" s="220">
        <v>0</v>
      </c>
      <c r="N93" s="96"/>
      <c r="O93" s="221">
        <f>P93+(P93*Q93)</f>
        <v>1000</v>
      </c>
      <c r="P93" s="158">
        <f>'[1]TTM Orignal - With Levers'!F75</f>
        <v>1000</v>
      </c>
      <c r="Q93" s="220">
        <v>0</v>
      </c>
      <c r="R93" s="96"/>
      <c r="S93" s="221">
        <f>T93+(T93*U93)</f>
        <v>1000</v>
      </c>
      <c r="T93" s="158">
        <f>'[1]TTM Orignal - With Levers'!G75</f>
        <v>1000</v>
      </c>
      <c r="U93" s="220">
        <v>0</v>
      </c>
      <c r="V93" s="96"/>
      <c r="W93" s="221">
        <f>X93+(X93*Y93)</f>
        <v>1000</v>
      </c>
      <c r="X93" s="158">
        <f>'[1]TTM Orignal - With Levers'!H75</f>
        <v>1000</v>
      </c>
      <c r="Y93" s="220">
        <v>0</v>
      </c>
      <c r="Z93" s="96"/>
      <c r="AA93" s="221">
        <f>AB93+(AB93*AC93)</f>
        <v>1000</v>
      </c>
      <c r="AB93" s="158">
        <f>'[1]TTM Orignal - With Levers'!I75</f>
        <v>1000</v>
      </c>
      <c r="AC93" s="220">
        <v>0</v>
      </c>
      <c r="AD93" s="96"/>
      <c r="AE93" s="221">
        <f>AF93+(AF93*AG93)</f>
        <v>1000</v>
      </c>
      <c r="AF93" s="158">
        <f>'[1]TTM Orignal - With Levers'!J75</f>
        <v>1000</v>
      </c>
      <c r="AG93" s="220">
        <v>0</v>
      </c>
      <c r="AH93" s="96"/>
      <c r="AI93" s="221">
        <f>AJ93+(AJ93*AK93)</f>
        <v>1000</v>
      </c>
      <c r="AJ93" s="158">
        <f>'[1]TTM Orignal - With Levers'!K75</f>
        <v>1000</v>
      </c>
      <c r="AK93" s="220">
        <v>0</v>
      </c>
      <c r="AL93" s="96"/>
      <c r="AM93" s="221">
        <f>AN93+(AN93*AO93)</f>
        <v>1000</v>
      </c>
      <c r="AN93" s="158">
        <f>'[1]TTM Orignal - With Levers'!L75</f>
        <v>1000</v>
      </c>
      <c r="AO93" s="220">
        <v>0</v>
      </c>
      <c r="AP93" s="96"/>
      <c r="AQ93" s="221">
        <f>AR93+(AR93*AS93)</f>
        <v>1000</v>
      </c>
      <c r="AR93" s="158">
        <f>'[1]TTM Orignal - With Levers'!M75</f>
        <v>1000</v>
      </c>
      <c r="AS93" s="220">
        <v>0</v>
      </c>
      <c r="AT93" s="96"/>
      <c r="AU93" s="221">
        <f>AV93+(AV93*AW93)</f>
        <v>1000</v>
      </c>
      <c r="AV93" s="158">
        <f>'[1]TTM Orignal - With Levers'!N75</f>
        <v>1000</v>
      </c>
      <c r="AW93" s="220">
        <v>0</v>
      </c>
      <c r="AX93" s="96"/>
      <c r="AY93" s="320">
        <f>SUM(C93:AU93)</f>
        <v>23000</v>
      </c>
      <c r="AZ93" s="292">
        <f>'[1]TTM Orignal - With Levers'!V75</f>
        <v>12000</v>
      </c>
      <c r="BA93" s="319">
        <f>SUM(C93,G93,K93,O93,S93,W93,AA93,AE93,AI93,AM93,AQ93,AU93)</f>
        <v>12000</v>
      </c>
      <c r="BB93" s="318">
        <f>BE93</f>
        <v>12000</v>
      </c>
      <c r="BC93" s="317">
        <v>0</v>
      </c>
      <c r="BE93" s="208">
        <f>(BA93+(BA93*BC93))</f>
        <v>12000</v>
      </c>
      <c r="BF93" s="207">
        <f>BA93</f>
        <v>12000</v>
      </c>
    </row>
    <row r="94" spans="1:59" x14ac:dyDescent="0.3">
      <c r="A94" s="176"/>
      <c r="B94" s="106" t="s">
        <v>97</v>
      </c>
      <c r="C94" s="107">
        <f>SUM(C91:C93)</f>
        <v>4750</v>
      </c>
      <c r="D94" s="107"/>
      <c r="E94" s="107"/>
      <c r="F94" s="107"/>
      <c r="G94" s="107">
        <f>SUM(G91:G93)</f>
        <v>4750</v>
      </c>
      <c r="H94" s="107"/>
      <c r="I94" s="107"/>
      <c r="J94" s="107"/>
      <c r="K94" s="107">
        <f>SUM(K91:K93)</f>
        <v>4750</v>
      </c>
      <c r="L94" s="107"/>
      <c r="M94" s="107"/>
      <c r="N94" s="107"/>
      <c r="O94" s="107">
        <f>SUM(O91:O93)</f>
        <v>4750</v>
      </c>
      <c r="P94" s="107"/>
      <c r="Q94" s="107"/>
      <c r="R94" s="107"/>
      <c r="S94" s="107">
        <f>SUM(S91:S93)</f>
        <v>4750</v>
      </c>
      <c r="T94" s="107"/>
      <c r="U94" s="107"/>
      <c r="V94" s="107"/>
      <c r="W94" s="107">
        <f>SUM(W91:W93)</f>
        <v>4750</v>
      </c>
      <c r="X94" s="107"/>
      <c r="Y94" s="107"/>
      <c r="Z94" s="107"/>
      <c r="AA94" s="107">
        <f>SUM(AA91:AA93)</f>
        <v>4750</v>
      </c>
      <c r="AB94" s="107"/>
      <c r="AC94" s="107"/>
      <c r="AD94" s="107"/>
      <c r="AE94" s="107">
        <f>SUM(AE91:AE93)</f>
        <v>4750</v>
      </c>
      <c r="AF94" s="107"/>
      <c r="AG94" s="107"/>
      <c r="AH94" s="107"/>
      <c r="AI94" s="107">
        <f>SUM(AI91:AI93)</f>
        <v>4750</v>
      </c>
      <c r="AJ94" s="107"/>
      <c r="AK94" s="107"/>
      <c r="AL94" s="107"/>
      <c r="AM94" s="107">
        <f>SUM(AM91:AM93)</f>
        <v>4750</v>
      </c>
      <c r="AN94" s="107"/>
      <c r="AO94" s="107"/>
      <c r="AP94" s="107"/>
      <c r="AQ94" s="107">
        <f>SUM(AQ91:AQ93)</f>
        <v>4750</v>
      </c>
      <c r="AR94" s="107"/>
      <c r="AS94" s="107"/>
      <c r="AT94" s="107"/>
      <c r="AU94" s="107">
        <f>SUM(AU91:AU93)</f>
        <v>4750</v>
      </c>
      <c r="AV94" s="107"/>
      <c r="AW94" s="107"/>
      <c r="AX94" s="107"/>
      <c r="AY94" s="316">
        <f>SUM(AY91:AY93)</f>
        <v>109250</v>
      </c>
      <c r="AZ94" s="302">
        <f>SUM(AZ91:AZ93)</f>
        <v>57000</v>
      </c>
      <c r="BA94" s="315">
        <f>SUM(BA91:BA93)</f>
        <v>57000</v>
      </c>
      <c r="BB94" s="108">
        <f>SUM(BB91:BB93)</f>
        <v>57000</v>
      </c>
      <c r="BC94" s="148"/>
      <c r="BE94" s="108">
        <f>SUM(BE91:BE93)</f>
        <v>57000</v>
      </c>
      <c r="BF94" s="108">
        <f>SUM(BF91:BF93)</f>
        <v>57000</v>
      </c>
    </row>
    <row r="95" spans="1:59" x14ac:dyDescent="0.3">
      <c r="A95" s="176"/>
      <c r="B95" s="106" t="s">
        <v>98</v>
      </c>
      <c r="C95" s="108">
        <f>SUM(C89+C94)</f>
        <v>26402.264818655112</v>
      </c>
      <c r="D95" s="108"/>
      <c r="E95" s="108"/>
      <c r="F95" s="108"/>
      <c r="G95" s="108">
        <f>SUM(G89+G94)</f>
        <v>22821.003891205259</v>
      </c>
      <c r="H95" s="108"/>
      <c r="I95" s="108"/>
      <c r="J95" s="108"/>
      <c r="K95" s="108">
        <f>SUM(K89+K94)</f>
        <v>26926.146124251351</v>
      </c>
      <c r="L95" s="108"/>
      <c r="M95" s="108"/>
      <c r="N95" s="108"/>
      <c r="O95" s="108">
        <f>SUM(O89+O94)</f>
        <v>23362.52341357122</v>
      </c>
      <c r="P95" s="108"/>
      <c r="Q95" s="108"/>
      <c r="R95" s="108"/>
      <c r="S95" s="108">
        <f>SUM(S89+S94)</f>
        <v>21838.705354161895</v>
      </c>
      <c r="T95" s="108"/>
      <c r="U95" s="108"/>
      <c r="V95" s="108"/>
      <c r="W95" s="108">
        <f>SUM(W89+W94)</f>
        <v>27002.496767965786</v>
      </c>
      <c r="X95" s="108"/>
      <c r="Y95" s="108"/>
      <c r="Z95" s="108"/>
      <c r="AA95" s="108">
        <f>SUM(AA89+AA94)</f>
        <v>23950.830359174426</v>
      </c>
      <c r="AB95" s="108"/>
      <c r="AC95" s="108"/>
      <c r="AD95" s="108"/>
      <c r="AE95" s="108">
        <f>SUM(AE89+AE94)</f>
        <v>25619.582167181507</v>
      </c>
      <c r="AF95" s="108"/>
      <c r="AG95" s="108"/>
      <c r="AH95" s="108"/>
      <c r="AI95" s="108">
        <f>SUM(AI89+AI94)</f>
        <v>28257.27016061862</v>
      </c>
      <c r="AJ95" s="108"/>
      <c r="AK95" s="108"/>
      <c r="AL95" s="108"/>
      <c r="AM95" s="108">
        <f>SUM(AM89+AM94)</f>
        <v>31384.924515229064</v>
      </c>
      <c r="AN95" s="108"/>
      <c r="AO95" s="108"/>
      <c r="AP95" s="108"/>
      <c r="AQ95" s="108">
        <f>SUM(AQ89+AQ94)</f>
        <v>30036.714641537343</v>
      </c>
      <c r="AR95" s="108"/>
      <c r="AS95" s="108"/>
      <c r="AT95" s="108"/>
      <c r="AU95" s="108">
        <f>SUM(AU89+AU94)</f>
        <v>25902.517437176823</v>
      </c>
      <c r="AV95" s="108"/>
      <c r="AW95" s="108"/>
      <c r="AX95" s="108"/>
      <c r="AY95" s="309">
        <f>SUM(AY89+AY94)</f>
        <v>574382.68333333335</v>
      </c>
      <c r="AZ95" s="302">
        <f>SUM(AZ89+AZ94)</f>
        <v>309860.9796507284</v>
      </c>
      <c r="BA95" s="315">
        <f>SUM(BA89+BA94)</f>
        <v>313504.9796507284</v>
      </c>
      <c r="BB95" s="108">
        <f>SUM(BB89+BB94)</f>
        <v>313504.9796507284</v>
      </c>
      <c r="BC95" s="149"/>
      <c r="BE95" s="108">
        <f>SUM(BE89+BE94)</f>
        <v>313504.9796507284</v>
      </c>
      <c r="BF95" s="108">
        <f>SUM(BF89+BF94)</f>
        <v>313504.9796507284</v>
      </c>
    </row>
    <row r="96" spans="1:59" x14ac:dyDescent="0.3">
      <c r="A96" s="178"/>
      <c r="B96" s="109" t="s">
        <v>99</v>
      </c>
      <c r="C96" s="83">
        <f>SUM(C67-C95)</f>
        <v>11936.212357585271</v>
      </c>
      <c r="D96" s="83"/>
      <c r="E96" s="83"/>
      <c r="F96" s="83"/>
      <c r="G96" s="83">
        <f>SUM(G67-G95)</f>
        <v>12697.030141056701</v>
      </c>
      <c r="H96" s="83"/>
      <c r="I96" s="83"/>
      <c r="J96" s="83"/>
      <c r="K96" s="83">
        <f>SUM(K67-K95)</f>
        <v>6213.4205145069973</v>
      </c>
      <c r="L96" s="83"/>
      <c r="M96" s="83"/>
      <c r="N96" s="83"/>
      <c r="O96" s="83">
        <f>SUM(O67-O95)</f>
        <v>8123.1334210542664</v>
      </c>
      <c r="P96" s="83"/>
      <c r="Q96" s="83"/>
      <c r="R96" s="83"/>
      <c r="S96" s="83">
        <f>SUM(S67-S95)</f>
        <v>4203.7034732957472</v>
      </c>
      <c r="T96" s="83"/>
      <c r="U96" s="83"/>
      <c r="V96" s="83"/>
      <c r="W96" s="83">
        <f>SUM(W67-W95)</f>
        <v>3182.2579214664001</v>
      </c>
      <c r="X96" s="83"/>
      <c r="Y96" s="83"/>
      <c r="Z96" s="83"/>
      <c r="AA96" s="83">
        <f>SUM(AA67-AA95)</f>
        <v>4371.0076980544545</v>
      </c>
      <c r="AB96" s="83"/>
      <c r="AC96" s="83"/>
      <c r="AD96" s="83"/>
      <c r="AE96" s="83">
        <f>SUM(AE67-AE95)</f>
        <v>11641.083259992796</v>
      </c>
      <c r="AF96" s="83"/>
      <c r="AG96" s="83"/>
      <c r="AH96" s="83"/>
      <c r="AI96" s="83">
        <f>SUM(AI67-AI95)</f>
        <v>11931.747571794735</v>
      </c>
      <c r="AJ96" s="83"/>
      <c r="AK96" s="83"/>
      <c r="AL96" s="83"/>
      <c r="AM96" s="83">
        <f>SUM(AM67-AM95)</f>
        <v>25989.612099759343</v>
      </c>
      <c r="AN96" s="83"/>
      <c r="AO96" s="83"/>
      <c r="AP96" s="83"/>
      <c r="AQ96" s="83">
        <f>SUM(AQ67-AQ95)</f>
        <v>19465.942197946861</v>
      </c>
      <c r="AR96" s="83"/>
      <c r="AS96" s="83"/>
      <c r="AT96" s="83"/>
      <c r="AU96" s="83">
        <f>SUM(AU67-AU95)</f>
        <v>20946.518895742352</v>
      </c>
      <c r="AV96" s="83"/>
      <c r="AW96" s="83"/>
      <c r="AX96" s="83"/>
      <c r="AY96" s="259">
        <f>SUM(AY67-AY95)</f>
        <v>-1473789.4898094339</v>
      </c>
      <c r="AZ96" s="296">
        <f>SUM(AZ67-AZ95)</f>
        <v>69641.798635724699</v>
      </c>
      <c r="BA96" s="314">
        <f>SUM(BA67-BA95)</f>
        <v>140701.66955225554</v>
      </c>
      <c r="BB96" s="83">
        <f>SUM(BB67-BB95)</f>
        <v>140701.66955225554</v>
      </c>
      <c r="BC96" s="149"/>
      <c r="BE96" s="83">
        <f>SUM(BE67-BE95)</f>
        <v>140701.66955225554</v>
      </c>
      <c r="BF96" s="83">
        <f>SUM(BF67-BF95)</f>
        <v>140701.66955225554</v>
      </c>
    </row>
    <row r="97" spans="1:58" ht="15.75" customHeight="1" x14ac:dyDescent="0.3">
      <c r="A97" s="178"/>
      <c r="B97" s="110" t="s">
        <v>100</v>
      </c>
      <c r="C97" s="111">
        <f>SUM(C96/C9)</f>
        <v>9.5536878792905247E-2</v>
      </c>
      <c r="D97" s="111"/>
      <c r="E97" s="111"/>
      <c r="F97" s="111"/>
      <c r="G97" s="111">
        <f>SUM(G96/G9)</f>
        <v>0.11247026384393607</v>
      </c>
      <c r="H97" s="111"/>
      <c r="I97" s="111"/>
      <c r="J97" s="111"/>
      <c r="K97" s="111">
        <f>SUM(K96/K9)</f>
        <v>6.2118075813976423E-2</v>
      </c>
      <c r="L97" s="111"/>
      <c r="M97" s="111"/>
      <c r="N97" s="111"/>
      <c r="O97" s="111">
        <f>SUM(O96/O9)</f>
        <v>8.740985148751966E-2</v>
      </c>
      <c r="P97" s="111"/>
      <c r="Q97" s="111"/>
      <c r="R97" s="111"/>
      <c r="S97" s="111">
        <f>SUM(S96/S9)</f>
        <v>5.5980093455474077E-2</v>
      </c>
      <c r="T97" s="111"/>
      <c r="U97" s="111"/>
      <c r="V97" s="111"/>
      <c r="W97" s="111">
        <f>SUM(W96/W9)</f>
        <v>3.722292785613078E-2</v>
      </c>
      <c r="X97" s="111"/>
      <c r="Y97" s="111"/>
      <c r="Z97" s="111"/>
      <c r="AA97" s="111">
        <f>SUM(AA96/AA9)</f>
        <v>5.2389641576837918E-2</v>
      </c>
      <c r="AB97" s="111"/>
      <c r="AC97" s="111"/>
      <c r="AD97" s="111"/>
      <c r="AE97" s="111">
        <f>SUM(AE96/AE9)</f>
        <v>0.11320186051837361</v>
      </c>
      <c r="AF97" s="111"/>
      <c r="AG97" s="111"/>
      <c r="AH97" s="111"/>
      <c r="AI97" s="111">
        <f>SUM(AI96/AI9)</f>
        <v>0.10203119357104108</v>
      </c>
      <c r="AJ97" s="111"/>
      <c r="AK97" s="111"/>
      <c r="AL97" s="111"/>
      <c r="AM97" s="111">
        <f>SUM(AM96/AM9)</f>
        <v>0.15922610807472656</v>
      </c>
      <c r="AN97" s="111"/>
      <c r="AO97" s="111"/>
      <c r="AP97" s="111"/>
      <c r="AQ97" s="111">
        <f>SUM(AQ96/AQ9)</f>
        <v>0.13008743227243211</v>
      </c>
      <c r="AR97" s="111"/>
      <c r="AS97" s="111"/>
      <c r="AT97" s="111"/>
      <c r="AU97" s="111">
        <f>SUM(AU96/AU9)</f>
        <v>0.14702598094125108</v>
      </c>
      <c r="AV97" s="111"/>
      <c r="AW97" s="111"/>
      <c r="AX97" s="111"/>
      <c r="AY97" s="111" t="e">
        <f>SUM(AY96/AY9)</f>
        <v>#DIV/0!</v>
      </c>
      <c r="AZ97" s="298">
        <f>SUM(AZ96/AZ9)</f>
        <v>5.7555198824790793E-2</v>
      </c>
      <c r="BA97" s="313">
        <f>SUM(BA96/BA9)</f>
        <v>0.10423021692571985</v>
      </c>
      <c r="BB97" s="111">
        <f>SUM(BB96/BB9)</f>
        <v>0.10423021692571985</v>
      </c>
      <c r="BC97" s="149"/>
      <c r="BE97" s="111">
        <f>SUM(BE96/BE9)</f>
        <v>0.10423021692571985</v>
      </c>
      <c r="BF97" s="111">
        <f>SUM(BF96/BF9)</f>
        <v>0.10423021692571985</v>
      </c>
    </row>
    <row r="98" spans="1:58" ht="15" hidden="1" customHeight="1" x14ac:dyDescent="0.3">
      <c r="A98" s="176"/>
      <c r="B98" s="198" t="s">
        <v>62</v>
      </c>
      <c r="C98" s="199" t="e">
        <f>SUM(C$89+C$94)/#REF!</f>
        <v>#REF!</v>
      </c>
      <c r="D98" s="199"/>
      <c r="E98" s="199"/>
      <c r="F98" s="199"/>
      <c r="G98" s="199" t="e">
        <f>SUM(G$89+G$94)/#REF!</f>
        <v>#REF!</v>
      </c>
      <c r="H98" s="199"/>
      <c r="I98" s="199"/>
      <c r="J98" s="199"/>
      <c r="K98" s="199" t="e">
        <f>SUM(K$89+K$94)/#REF!</f>
        <v>#REF!</v>
      </c>
      <c r="L98" s="199"/>
      <c r="M98" s="199"/>
      <c r="N98" s="199"/>
      <c r="O98" s="199" t="e">
        <f>SUM(O$89+O$94)/#REF!</f>
        <v>#REF!</v>
      </c>
      <c r="P98" s="199"/>
      <c r="Q98" s="199"/>
      <c r="R98" s="199"/>
      <c r="S98" s="199" t="e">
        <f>SUM(S$89+S$94)/#REF!</f>
        <v>#REF!</v>
      </c>
      <c r="T98" s="199"/>
      <c r="U98" s="199"/>
      <c r="V98" s="199"/>
      <c r="W98" s="199" t="e">
        <f>SUM(W$89+W$94)/#REF!</f>
        <v>#REF!</v>
      </c>
      <c r="X98" s="199"/>
      <c r="Y98" s="199"/>
      <c r="Z98" s="199"/>
      <c r="AA98" s="199" t="e">
        <f>SUM(AA$89+AA$94)/#REF!</f>
        <v>#REF!</v>
      </c>
      <c r="AB98" s="199"/>
      <c r="AC98" s="199"/>
      <c r="AD98" s="199"/>
      <c r="AE98" s="199" t="e">
        <f>SUM(AE$89+AE$94)/#REF!</f>
        <v>#REF!</v>
      </c>
      <c r="AF98" s="199"/>
      <c r="AG98" s="199"/>
      <c r="AH98" s="199"/>
      <c r="AI98" s="199" t="e">
        <f>SUM(AI$89+AI$94)/#REF!</f>
        <v>#REF!</v>
      </c>
      <c r="AJ98" s="199"/>
      <c r="AK98" s="199"/>
      <c r="AL98" s="199"/>
      <c r="AM98" s="199" t="e">
        <f>SUM(AM$89+AM$94)/#REF!</f>
        <v>#REF!</v>
      </c>
      <c r="AN98" s="199"/>
      <c r="AO98" s="199"/>
      <c r="AP98" s="199"/>
      <c r="AQ98" s="199" t="e">
        <f>SUM(AQ$89+AQ$94)/#REF!</f>
        <v>#REF!</v>
      </c>
      <c r="AR98" s="199"/>
      <c r="AS98" s="199"/>
      <c r="AT98" s="199"/>
      <c r="AU98" s="199" t="e">
        <f>SUM(AU$89+AU$94)/#REF!</f>
        <v>#REF!</v>
      </c>
      <c r="AV98" s="199"/>
      <c r="AW98" s="199"/>
      <c r="AX98" s="199"/>
      <c r="AY98" s="200" t="e">
        <f>SUM(AY$89+AY$94)/#REF!</f>
        <v>#REF!</v>
      </c>
      <c r="AZ98" s="304"/>
      <c r="BA98" s="312" t="e">
        <f>SUM(BA$89+BA$94)/#REF!</f>
        <v>#REF!</v>
      </c>
      <c r="BB98" s="86"/>
      <c r="BC98" s="149"/>
      <c r="BE98" s="86"/>
      <c r="BF98" s="86"/>
    </row>
    <row r="99" spans="1:58" s="205" customFormat="1" ht="14.25" hidden="1" customHeight="1" thickBot="1" x14ac:dyDescent="0.35">
      <c r="A99" s="202"/>
      <c r="B99" s="203" t="s">
        <v>136</v>
      </c>
      <c r="C99" s="206">
        <f>C95/C68</f>
        <v>86040.279465479602</v>
      </c>
      <c r="D99" s="206"/>
      <c r="E99" s="206"/>
      <c r="F99" s="206"/>
      <c r="G99" s="206">
        <f>G95/G68</f>
        <v>72535.442132779441</v>
      </c>
      <c r="H99" s="206"/>
      <c r="I99" s="206"/>
      <c r="J99" s="206"/>
      <c r="K99" s="206">
        <f>K95/K68</f>
        <v>81271.846289473688</v>
      </c>
      <c r="L99" s="206"/>
      <c r="M99" s="206"/>
      <c r="N99" s="206"/>
      <c r="O99" s="206">
        <f>O95/O68</f>
        <v>68955.703892429417</v>
      </c>
      <c r="P99" s="206"/>
      <c r="Q99" s="206"/>
      <c r="R99" s="206"/>
      <c r="S99" s="206">
        <f>S95/S68</f>
        <v>62971.52210186499</v>
      </c>
      <c r="T99" s="206"/>
      <c r="U99" s="206"/>
      <c r="V99" s="206"/>
      <c r="W99" s="206">
        <f>W95/W68</f>
        <v>76478.809287285563</v>
      </c>
      <c r="X99" s="206"/>
      <c r="Y99" s="206"/>
      <c r="Z99" s="206"/>
      <c r="AA99" s="206">
        <f>AA95/AA68</f>
        <v>70556.216412418595</v>
      </c>
      <c r="AB99" s="206"/>
      <c r="AC99" s="206"/>
      <c r="AD99" s="206"/>
      <c r="AE99" s="206">
        <f>AE95/AE68</f>
        <v>70706.813670581367</v>
      </c>
      <c r="AF99" s="206"/>
      <c r="AG99" s="206"/>
      <c r="AH99" s="206"/>
      <c r="AI99" s="206">
        <f>AI95/AI68</f>
        <v>82223.110462562865</v>
      </c>
      <c r="AJ99" s="206"/>
      <c r="AK99" s="206"/>
      <c r="AL99" s="206"/>
      <c r="AM99" s="206">
        <f>AM95/AM68</f>
        <v>89286.832254953551</v>
      </c>
      <c r="AN99" s="206"/>
      <c r="AO99" s="206"/>
      <c r="AP99" s="206"/>
      <c r="AQ99" s="206">
        <f>AQ95/AQ68</f>
        <v>90795.433854104645</v>
      </c>
      <c r="AR99" s="206"/>
      <c r="AS99" s="206"/>
      <c r="AT99" s="206"/>
      <c r="AU99" s="206">
        <f>AU95/AU68</f>
        <v>78769.680677494121</v>
      </c>
      <c r="AV99" s="206"/>
      <c r="AW99" s="206"/>
      <c r="AX99" s="206"/>
      <c r="AY99" s="289" t="e">
        <f>AY95/AY68</f>
        <v>#DIV/0!</v>
      </c>
      <c r="AZ99" s="305">
        <f>AZ95/AZ68</f>
        <v>987955.4253879945</v>
      </c>
      <c r="BA99" s="311">
        <f>BA95/BA68</f>
        <v>931743.91458224028</v>
      </c>
      <c r="BB99" s="206">
        <f>BB95/BB68</f>
        <v>931743.91458224028</v>
      </c>
      <c r="BC99" s="290"/>
      <c r="BE99" s="206">
        <f>BE95/BE68</f>
        <v>931743.91458224028</v>
      </c>
      <c r="BF99" s="206">
        <f>BF95/BF68</f>
        <v>931743.91458224028</v>
      </c>
    </row>
    <row r="100" spans="1:58" s="205" customFormat="1" ht="14.25" customHeight="1" x14ac:dyDescent="0.3">
      <c r="A100" s="462"/>
      <c r="B100" s="515"/>
      <c r="C100" s="465"/>
      <c r="D100" s="465"/>
      <c r="E100" s="465"/>
      <c r="F100" s="465"/>
      <c r="G100" s="465"/>
      <c r="H100" s="465"/>
      <c r="I100" s="465"/>
      <c r="J100" s="465"/>
      <c r="K100" s="465"/>
      <c r="L100" s="465"/>
      <c r="M100" s="465"/>
      <c r="N100" s="465"/>
      <c r="O100" s="465"/>
      <c r="P100" s="465"/>
      <c r="Q100" s="465"/>
      <c r="R100" s="465"/>
      <c r="S100" s="465"/>
      <c r="T100" s="465"/>
      <c r="U100" s="465"/>
      <c r="V100" s="465"/>
      <c r="W100" s="465"/>
      <c r="X100" s="465"/>
      <c r="Y100" s="465"/>
      <c r="Z100" s="465"/>
      <c r="AA100" s="465"/>
      <c r="AB100" s="465"/>
      <c r="AC100" s="465"/>
      <c r="AD100" s="465"/>
      <c r="AE100" s="465"/>
      <c r="AF100" s="465"/>
      <c r="AG100" s="465"/>
      <c r="AH100" s="465"/>
      <c r="AI100" s="465"/>
      <c r="AJ100" s="465"/>
      <c r="AK100" s="465"/>
      <c r="AL100" s="465"/>
      <c r="AM100" s="465"/>
      <c r="AN100" s="465"/>
      <c r="AO100" s="465"/>
      <c r="AP100" s="465"/>
      <c r="AQ100" s="465"/>
      <c r="AR100" s="465"/>
      <c r="AS100" s="465"/>
      <c r="AT100" s="465"/>
      <c r="AU100" s="465"/>
      <c r="AV100" s="465"/>
      <c r="AW100" s="465"/>
      <c r="AX100" s="465"/>
      <c r="AY100" s="465"/>
      <c r="AZ100" s="465"/>
      <c r="BA100" s="465"/>
      <c r="BB100" s="465"/>
      <c r="BE100" s="463"/>
      <c r="BF100" s="463"/>
    </row>
    <row r="101" spans="1:58" s="205" customFormat="1" ht="14.25" customHeight="1" x14ac:dyDescent="0.3">
      <c r="A101" s="462"/>
      <c r="B101" s="515"/>
      <c r="C101" s="465"/>
      <c r="D101" s="465"/>
      <c r="E101" s="465"/>
      <c r="F101" s="465"/>
      <c r="G101" s="465"/>
      <c r="H101" s="465"/>
      <c r="I101" s="465"/>
      <c r="J101" s="465"/>
      <c r="K101" s="465"/>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c r="AK101" s="465"/>
      <c r="AL101" s="465"/>
      <c r="AM101" s="465"/>
      <c r="AN101" s="465"/>
      <c r="AO101" s="465"/>
      <c r="AP101" s="465"/>
      <c r="AQ101" s="465"/>
      <c r="AR101" s="465"/>
      <c r="AS101" s="465"/>
      <c r="AT101" s="465"/>
      <c r="AU101" s="465"/>
      <c r="AV101" s="465"/>
      <c r="AW101" s="465"/>
      <c r="AX101" s="465"/>
      <c r="AY101" s="465"/>
      <c r="AZ101" s="465"/>
      <c r="BA101" s="465"/>
      <c r="BB101" s="465"/>
      <c r="BE101" s="463"/>
      <c r="BF101" s="463"/>
    </row>
    <row r="102" spans="1:58" s="205" customFormat="1" ht="14.25" customHeight="1" x14ac:dyDescent="0.3">
      <c r="A102" s="462"/>
      <c r="B102" s="516" t="s">
        <v>160</v>
      </c>
      <c r="C102" s="517">
        <f>C104-C103</f>
        <v>100000</v>
      </c>
      <c r="D102" s="517"/>
      <c r="E102" s="517"/>
      <c r="F102" s="517"/>
      <c r="G102" s="517">
        <f>C104</f>
        <v>114868</v>
      </c>
      <c r="H102" s="517"/>
      <c r="I102" s="517"/>
      <c r="J102" s="517"/>
      <c r="K102" s="517">
        <f>G104</f>
        <v>131349</v>
      </c>
      <c r="L102" s="517"/>
      <c r="M102" s="517"/>
      <c r="N102" s="517"/>
      <c r="O102" s="517">
        <f>K104</f>
        <v>141865</v>
      </c>
      <c r="P102" s="517"/>
      <c r="Q102" s="517"/>
      <c r="R102" s="517"/>
      <c r="S102" s="517">
        <f>O104</f>
        <v>158051</v>
      </c>
      <c r="T102" s="517"/>
      <c r="U102" s="517"/>
      <c r="V102" s="517"/>
      <c r="W102" s="517">
        <f>S104</f>
        <v>160931</v>
      </c>
      <c r="X102" s="517"/>
      <c r="Y102" s="517"/>
      <c r="Z102" s="517"/>
      <c r="AA102" s="517">
        <f>W104</f>
        <v>162851</v>
      </c>
      <c r="AB102" s="517"/>
      <c r="AC102" s="517"/>
      <c r="AD102" s="517"/>
      <c r="AE102" s="517">
        <f>AA104</f>
        <v>74423</v>
      </c>
      <c r="AF102" s="517"/>
      <c r="AG102" s="517"/>
      <c r="AH102" s="517"/>
      <c r="AI102" s="517">
        <f>AE104</f>
        <v>82105</v>
      </c>
      <c r="AJ102" s="517"/>
      <c r="AK102" s="517"/>
      <c r="AL102" s="517"/>
      <c r="AM102" s="517">
        <f>AI104</f>
        <v>124496</v>
      </c>
      <c r="AN102" s="517"/>
      <c r="AO102" s="517"/>
      <c r="AP102" s="517"/>
      <c r="AQ102" s="517">
        <f>AM104</f>
        <v>107239</v>
      </c>
      <c r="AR102" s="517"/>
      <c r="AS102" s="517"/>
      <c r="AT102" s="517"/>
      <c r="AU102" s="517">
        <f>AQ104</f>
        <v>125648</v>
      </c>
      <c r="AV102" s="464"/>
      <c r="AW102" s="464"/>
      <c r="AX102" s="464"/>
      <c r="AY102" s="464"/>
      <c r="AZ102" s="465"/>
      <c r="BA102" s="465"/>
      <c r="BB102" s="465"/>
      <c r="BE102" s="463"/>
      <c r="BF102" s="463"/>
    </row>
    <row r="103" spans="1:58" x14ac:dyDescent="0.3">
      <c r="B103" s="518" t="s">
        <v>161</v>
      </c>
      <c r="C103" s="519">
        <v>14868</v>
      </c>
      <c r="D103" s="520"/>
      <c r="E103" s="520"/>
      <c r="F103" s="520"/>
      <c r="G103" s="519">
        <v>16482</v>
      </c>
      <c r="H103" s="520"/>
      <c r="I103" s="520"/>
      <c r="J103" s="520"/>
      <c r="K103" s="519">
        <v>10516</v>
      </c>
      <c r="L103" s="520"/>
      <c r="M103" s="520"/>
      <c r="N103" s="520"/>
      <c r="O103" s="519">
        <v>16186</v>
      </c>
      <c r="P103" s="520"/>
      <c r="Q103" s="520"/>
      <c r="R103" s="520"/>
      <c r="S103" s="519">
        <v>2880</v>
      </c>
      <c r="T103" s="520"/>
      <c r="U103" s="520"/>
      <c r="V103" s="520"/>
      <c r="W103" s="519">
        <v>1920</v>
      </c>
      <c r="X103" s="520"/>
      <c r="Y103" s="520"/>
      <c r="Z103" s="520"/>
      <c r="AA103" s="521">
        <v>-88429</v>
      </c>
      <c r="AB103" s="520"/>
      <c r="AC103" s="520"/>
      <c r="AD103" s="520"/>
      <c r="AE103" s="519">
        <v>7682</v>
      </c>
      <c r="AF103" s="520"/>
      <c r="AG103" s="520"/>
      <c r="AH103" s="520"/>
      <c r="AI103" s="519">
        <v>42391</v>
      </c>
      <c r="AJ103" s="520"/>
      <c r="AK103" s="520"/>
      <c r="AL103" s="520"/>
      <c r="AM103" s="521">
        <v>-17256</v>
      </c>
      <c r="AN103" s="520"/>
      <c r="AO103" s="520"/>
      <c r="AP103" s="520"/>
      <c r="AQ103" s="519">
        <v>18408</v>
      </c>
      <c r="AR103" s="520"/>
      <c r="AS103" s="520"/>
      <c r="AT103" s="520"/>
      <c r="AU103" s="519">
        <v>28851</v>
      </c>
      <c r="BA103" s="460"/>
      <c r="BC103"/>
    </row>
    <row r="104" spans="1:58" x14ac:dyDescent="0.3">
      <c r="B104" s="518" t="s">
        <v>162</v>
      </c>
      <c r="C104" s="519">
        <v>114868</v>
      </c>
      <c r="D104" s="520"/>
      <c r="E104" s="520"/>
      <c r="F104" s="520"/>
      <c r="G104" s="519">
        <v>131349</v>
      </c>
      <c r="H104" s="520"/>
      <c r="I104" s="520"/>
      <c r="J104" s="520"/>
      <c r="K104" s="519">
        <v>141865</v>
      </c>
      <c r="L104" s="520"/>
      <c r="M104" s="520"/>
      <c r="N104" s="520"/>
      <c r="O104" s="519">
        <v>158051</v>
      </c>
      <c r="P104" s="520"/>
      <c r="Q104" s="520"/>
      <c r="R104" s="520"/>
      <c r="S104" s="519">
        <v>160931</v>
      </c>
      <c r="T104" s="520"/>
      <c r="U104" s="520"/>
      <c r="V104" s="520"/>
      <c r="W104" s="519">
        <v>162851</v>
      </c>
      <c r="X104" s="520"/>
      <c r="Y104" s="520"/>
      <c r="Z104" s="520"/>
      <c r="AA104" s="519">
        <v>74423</v>
      </c>
      <c r="AB104" s="520"/>
      <c r="AC104" s="520"/>
      <c r="AD104" s="520"/>
      <c r="AE104" s="519">
        <v>82105</v>
      </c>
      <c r="AF104" s="520"/>
      <c r="AG104" s="520"/>
      <c r="AH104" s="520"/>
      <c r="AI104" s="519">
        <v>124496</v>
      </c>
      <c r="AJ104" s="520"/>
      <c r="AK104" s="520"/>
      <c r="AL104" s="520"/>
      <c r="AM104" s="519">
        <v>107239</v>
      </c>
      <c r="AN104" s="520"/>
      <c r="AO104" s="520"/>
      <c r="AP104" s="520"/>
      <c r="AQ104" s="519">
        <v>125648</v>
      </c>
      <c r="AR104" s="520"/>
      <c r="AS104" s="520"/>
      <c r="AT104" s="520"/>
      <c r="AU104" s="519">
        <v>154499</v>
      </c>
      <c r="BC104"/>
    </row>
    <row r="105" spans="1:58" x14ac:dyDescent="0.3">
      <c r="B105" s="38"/>
      <c r="C105" s="459"/>
      <c r="G105" s="459"/>
      <c r="K105" s="459"/>
      <c r="O105" s="459"/>
      <c r="S105" s="459"/>
      <c r="W105" s="459"/>
      <c r="AA105" s="460"/>
      <c r="AE105" s="459"/>
      <c r="AI105" s="459"/>
      <c r="AM105" s="460"/>
      <c r="AQ105" s="459"/>
      <c r="AU105" s="466"/>
      <c r="BC105"/>
    </row>
    <row r="106" spans="1:58" ht="15.75" customHeight="1" x14ac:dyDescent="0.3">
      <c r="C106" s="626" t="s">
        <v>141</v>
      </c>
      <c r="D106" s="626"/>
      <c r="E106" s="626"/>
      <c r="F106" s="626"/>
      <c r="G106" s="626"/>
      <c r="H106" s="626"/>
      <c r="I106" s="626"/>
      <c r="J106" s="626"/>
      <c r="K106" s="626"/>
      <c r="L106" s="626"/>
      <c r="M106" s="626"/>
      <c r="N106" s="626"/>
      <c r="O106" s="626"/>
      <c r="P106" s="626"/>
      <c r="Q106" s="626"/>
      <c r="R106" s="626"/>
      <c r="S106" s="626"/>
      <c r="T106" s="626"/>
      <c r="U106" s="626"/>
      <c r="V106" s="626"/>
      <c r="W106" s="626"/>
      <c r="X106" s="626"/>
      <c r="Y106" s="626"/>
      <c r="Z106" s="626"/>
      <c r="AA106" s="626"/>
      <c r="AB106" s="626"/>
      <c r="AC106" s="626"/>
      <c r="AD106" s="626"/>
      <c r="AE106" s="626"/>
      <c r="AF106" s="626"/>
      <c r="AG106" s="626"/>
      <c r="AH106" s="626"/>
      <c r="AI106" s="626"/>
      <c r="AJ106" s="626"/>
      <c r="AK106" s="626"/>
      <c r="AL106" s="626"/>
      <c r="AM106" s="626"/>
      <c r="AN106" s="626"/>
      <c r="AO106" s="626"/>
      <c r="AP106" s="626"/>
      <c r="AQ106" s="626"/>
      <c r="AR106" s="626"/>
      <c r="AS106" s="626"/>
      <c r="AT106" s="626"/>
      <c r="AU106" s="626"/>
      <c r="BC106"/>
    </row>
    <row r="107" spans="1:58" x14ac:dyDescent="0.3">
      <c r="BC107"/>
    </row>
    <row r="108" spans="1:58" x14ac:dyDescent="0.3">
      <c r="BC108"/>
    </row>
    <row r="109" spans="1:58" x14ac:dyDescent="0.3">
      <c r="BC109"/>
    </row>
    <row r="110" spans="1:58" x14ac:dyDescent="0.3">
      <c r="BC110"/>
    </row>
    <row r="111" spans="1:58" x14ac:dyDescent="0.3">
      <c r="BC111"/>
    </row>
    <row r="112" spans="1:58" x14ac:dyDescent="0.3">
      <c r="BC112"/>
    </row>
    <row r="113" spans="55:55" x14ac:dyDescent="0.3">
      <c r="BC113"/>
    </row>
    <row r="114" spans="55:55" x14ac:dyDescent="0.3">
      <c r="BC114"/>
    </row>
    <row r="115" spans="55:55" x14ac:dyDescent="0.3">
      <c r="BC115"/>
    </row>
    <row r="116" spans="55:55" x14ac:dyDescent="0.3">
      <c r="BC116"/>
    </row>
    <row r="117" spans="55:55" x14ac:dyDescent="0.3">
      <c r="BC117"/>
    </row>
    <row r="118" spans="55:55" x14ac:dyDescent="0.3">
      <c r="BC118"/>
    </row>
    <row r="119" spans="55:55" x14ac:dyDescent="0.3">
      <c r="BC119"/>
    </row>
  </sheetData>
  <sheetProtection algorithmName="SHA-512" hashValue="K9LjXNApG10OaR7tsMdLpH5+oA8fThLmLAUJIYc/cNv9pTjkBAzJoGL5ucTmWgX4u3ziKCNhzgcxkcmXmCVgrg==" saltValue="9U3BrTLBwzVd2di7+SJcaw==" spinCount="100000" sheet="1" objects="1" scenarios="1"/>
  <mergeCells count="3">
    <mergeCell ref="C106:AU106"/>
    <mergeCell ref="C1:BG1"/>
    <mergeCell ref="A1:B1"/>
  </mergeCells>
  <phoneticPr fontId="40" type="noConversion"/>
  <conditionalFormatting sqref="C1 C2:BF21 C23:BF60 C62:BF102 X103:AD103 AJ103:AP103 D103:F105 H103:J105 L103:N105 P103:R105 T103:V105 AF103:AH105 AR103:AT105 AV103:BF106 X104:Z104 AB104:AD104 AJ104:AL104 AN104:AP104 X105:AD105 AJ105:AP105 C106 C107:BF1048576">
    <cfRule type="cellIs" dxfId="0" priority="1" operator="lessThan">
      <formula>0</formula>
    </cfRule>
  </conditionalFormatting>
  <printOptions gridLines="1"/>
  <pageMargins left="0.25" right="0.25" top="0.75" bottom="0.75" header="0.3" footer="0.3"/>
  <pageSetup fitToWidth="0" orientation="landscape"/>
  <headerFooter>
    <oddFooter>&amp;R&amp;P</oddFooter>
  </headerFooter>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E76A2-AB40-400E-BC95-C405DEDA93A6}">
  <dimension ref="A1:S39"/>
  <sheetViews>
    <sheetView workbookViewId="0">
      <selection activeCell="C45" sqref="C45"/>
    </sheetView>
  </sheetViews>
  <sheetFormatPr defaultColWidth="9.109375" defaultRowHeight="14.4" x14ac:dyDescent="0.3"/>
  <cols>
    <col min="1" max="1" width="2.33203125" customWidth="1"/>
    <col min="2" max="2" width="30.44140625" customWidth="1"/>
    <col min="3" max="3" width="13.44140625" style="246" customWidth="1"/>
    <col min="4" max="4" width="13.6640625" style="246" customWidth="1"/>
    <col min="5" max="5" width="12.33203125" style="246" hidden="1" customWidth="1"/>
    <col min="6" max="6" width="10.6640625" style="514" customWidth="1"/>
    <col min="7" max="7" width="13.88671875" style="246" customWidth="1"/>
    <col min="8" max="8" width="13.109375" style="179" customWidth="1"/>
    <col min="9" max="9" width="9.88671875" style="513" customWidth="1"/>
    <col min="10" max="11" width="15.88671875" style="246" customWidth="1"/>
  </cols>
  <sheetData>
    <row r="1" spans="1:12" ht="63.75" customHeight="1" x14ac:dyDescent="0.3"/>
    <row r="2" spans="1:12" ht="33" customHeight="1" x14ac:dyDescent="0.45">
      <c r="A2" s="611"/>
      <c r="B2" s="612"/>
      <c r="C2" s="615">
        <v>2023</v>
      </c>
      <c r="D2" s="616">
        <v>2024</v>
      </c>
      <c r="E2" s="613" t="s">
        <v>163</v>
      </c>
      <c r="F2" s="614" t="s">
        <v>164</v>
      </c>
      <c r="G2" s="616">
        <v>2025</v>
      </c>
      <c r="H2" s="617" t="s">
        <v>165</v>
      </c>
      <c r="I2" s="614" t="s">
        <v>166</v>
      </c>
    </row>
    <row r="3" spans="1:12" x14ac:dyDescent="0.3">
      <c r="B3" s="524"/>
      <c r="C3" s="606" t="s">
        <v>167</v>
      </c>
      <c r="D3" s="607" t="s">
        <v>167</v>
      </c>
      <c r="E3" s="608"/>
      <c r="F3" s="609"/>
      <c r="G3" s="607" t="s">
        <v>167</v>
      </c>
      <c r="H3" s="610"/>
      <c r="I3" s="618"/>
      <c r="J3" s="619"/>
    </row>
    <row r="4" spans="1:12" hidden="1" x14ac:dyDescent="0.3">
      <c r="B4" s="522" t="s">
        <v>102</v>
      </c>
      <c r="C4" s="533">
        <v>815065.87760000001</v>
      </c>
      <c r="D4" s="533">
        <v>699358.91729999997</v>
      </c>
      <c r="E4" s="534">
        <f>D4-C4</f>
        <v>-115706.96030000004</v>
      </c>
      <c r="F4" s="535">
        <f>E4/C4</f>
        <v>-0.14196025558167721</v>
      </c>
      <c r="G4" s="483">
        <v>898193</v>
      </c>
      <c r="H4" s="536">
        <f>G4-D4</f>
        <v>198834.08270000003</v>
      </c>
      <c r="I4" s="537">
        <f>H4/D4</f>
        <v>0.28430906903658926</v>
      </c>
    </row>
    <row r="5" spans="1:12" hidden="1" x14ac:dyDescent="0.3">
      <c r="B5" s="522" t="s">
        <v>103</v>
      </c>
      <c r="C5" s="507">
        <v>135356.96230000001</v>
      </c>
      <c r="D5" s="507">
        <v>119364.26360000001</v>
      </c>
      <c r="E5" s="511">
        <f t="shared" ref="E5:E33" si="0">D5-C5</f>
        <v>-15992.698700000008</v>
      </c>
      <c r="F5" s="512">
        <f>E5/C5</f>
        <v>-0.11815202135339296</v>
      </c>
      <c r="G5" s="483">
        <v>150744</v>
      </c>
      <c r="H5" s="506">
        <f t="shared" ref="H5:H33" si="1">G5-D5</f>
        <v>31379.736399999994</v>
      </c>
      <c r="I5" s="485">
        <f>H5/D5</f>
        <v>0.26289054574287168</v>
      </c>
    </row>
    <row r="6" spans="1:12" hidden="1" x14ac:dyDescent="0.3">
      <c r="B6" s="522" t="s">
        <v>104</v>
      </c>
      <c r="C6" s="507">
        <v>99067.999230000001</v>
      </c>
      <c r="D6" s="507">
        <v>87301.192049999998</v>
      </c>
      <c r="E6" s="511">
        <f t="shared" si="0"/>
        <v>-11766.807180000003</v>
      </c>
      <c r="F6" s="512">
        <f t="shared" ref="F6:F34" si="2">E6/C6</f>
        <v>-0.11877505623871278</v>
      </c>
      <c r="G6" s="483">
        <v>108900</v>
      </c>
      <c r="H6" s="506">
        <f t="shared" si="1"/>
        <v>21598.807950000002</v>
      </c>
      <c r="I6" s="485">
        <f t="shared" ref="I6:I34" si="3">H6/D6</f>
        <v>0.24740564753834884</v>
      </c>
    </row>
    <row r="7" spans="1:12" hidden="1" x14ac:dyDescent="0.3">
      <c r="B7" s="522" t="s">
        <v>105</v>
      </c>
      <c r="C7" s="507">
        <v>177256.46220000001</v>
      </c>
      <c r="D7" s="507">
        <v>150344.62640000001</v>
      </c>
      <c r="E7" s="511">
        <f t="shared" si="0"/>
        <v>-26911.835800000001</v>
      </c>
      <c r="F7" s="512">
        <f t="shared" si="2"/>
        <v>-0.15182428593003927</v>
      </c>
      <c r="G7" s="526">
        <v>192076</v>
      </c>
      <c r="H7" s="506">
        <f t="shared" si="1"/>
        <v>41731.373599999992</v>
      </c>
      <c r="I7" s="485">
        <f t="shared" si="3"/>
        <v>0.27757143437219645</v>
      </c>
    </row>
    <row r="8" spans="1:12" x14ac:dyDescent="0.3">
      <c r="B8" s="523" t="s">
        <v>61</v>
      </c>
      <c r="C8" s="507">
        <f>SUM(C4:C7)</f>
        <v>1226747.3013299999</v>
      </c>
      <c r="D8" s="507">
        <f>SUM(D4:D7)</f>
        <v>1056368.9993499999</v>
      </c>
      <c r="E8" s="511">
        <f t="shared" si="0"/>
        <v>-170378.30197999999</v>
      </c>
      <c r="F8" s="525">
        <f t="shared" si="2"/>
        <v>-0.13888622521955526</v>
      </c>
      <c r="G8" s="493">
        <v>1349912</v>
      </c>
      <c r="H8" s="484">
        <f t="shared" si="1"/>
        <v>293543.00065000006</v>
      </c>
      <c r="I8" s="485">
        <f t="shared" si="3"/>
        <v>0.27787922670072823</v>
      </c>
    </row>
    <row r="9" spans="1:12" hidden="1" x14ac:dyDescent="0.3">
      <c r="B9" s="473" t="s">
        <v>106</v>
      </c>
      <c r="C9" s="505"/>
      <c r="D9" s="505"/>
      <c r="E9" s="511"/>
      <c r="F9" s="525"/>
      <c r="G9" s="527" t="s">
        <v>167</v>
      </c>
      <c r="H9" s="484"/>
      <c r="I9" s="485"/>
    </row>
    <row r="10" spans="1:12" hidden="1" x14ac:dyDescent="0.3">
      <c r="B10" s="474" t="s">
        <v>112</v>
      </c>
      <c r="C10" s="508">
        <v>539332.527</v>
      </c>
      <c r="D10" s="508">
        <v>475864.58240000001</v>
      </c>
      <c r="E10" s="511">
        <f t="shared" si="0"/>
        <v>-63467.944599999988</v>
      </c>
      <c r="F10" s="525">
        <f t="shared" si="2"/>
        <v>-0.11767868879156251</v>
      </c>
      <c r="G10" s="488">
        <v>601606</v>
      </c>
      <c r="H10" s="484">
        <f t="shared" si="1"/>
        <v>125741.41759999999</v>
      </c>
      <c r="I10" s="485">
        <f t="shared" si="3"/>
        <v>0.26423781523270595</v>
      </c>
      <c r="L10" s="501"/>
    </row>
    <row r="11" spans="1:12" hidden="1" x14ac:dyDescent="0.3">
      <c r="B11" s="475" t="s">
        <v>69</v>
      </c>
      <c r="C11" s="509">
        <f>C4-C10</f>
        <v>275733.35060000001</v>
      </c>
      <c r="D11" s="509">
        <f>D4-D10</f>
        <v>223494.33489999996</v>
      </c>
      <c r="E11" s="511">
        <f t="shared" si="0"/>
        <v>-52239.015700000047</v>
      </c>
      <c r="F11" s="525">
        <f t="shared" si="2"/>
        <v>-0.18945483230928412</v>
      </c>
      <c r="G11" s="509">
        <f>G4-G10</f>
        <v>296587</v>
      </c>
      <c r="H11" s="484">
        <f t="shared" si="1"/>
        <v>73092.665100000042</v>
      </c>
      <c r="I11" s="485">
        <f t="shared" si="3"/>
        <v>0.32704482255760325</v>
      </c>
    </row>
    <row r="12" spans="1:12" hidden="1" x14ac:dyDescent="0.3">
      <c r="B12" s="502" t="s">
        <v>70</v>
      </c>
      <c r="C12" s="510">
        <f>C11/C4</f>
        <v>0.33829578464492943</v>
      </c>
      <c r="D12" s="510">
        <f>D11/D4</f>
        <v>0.31957029412428134</v>
      </c>
      <c r="E12" s="511"/>
      <c r="F12" s="525">
        <f>D12-C12</f>
        <v>-1.8725490520648091E-2</v>
      </c>
      <c r="G12" s="510">
        <f>G11/G4</f>
        <v>0.33020408754020575</v>
      </c>
      <c r="H12" s="484"/>
      <c r="I12" s="485">
        <f>G12-D12</f>
        <v>1.0633793415924409E-2</v>
      </c>
    </row>
    <row r="13" spans="1:12" hidden="1" x14ac:dyDescent="0.3">
      <c r="B13" s="471" t="s">
        <v>167</v>
      </c>
      <c r="C13" s="505"/>
      <c r="D13" s="505"/>
      <c r="E13" s="511"/>
      <c r="F13" s="525"/>
      <c r="G13" s="527" t="s">
        <v>167</v>
      </c>
      <c r="H13" s="484"/>
      <c r="I13" s="485"/>
    </row>
    <row r="14" spans="1:12" hidden="1" x14ac:dyDescent="0.3">
      <c r="B14" s="473" t="s">
        <v>113</v>
      </c>
      <c r="C14" s="505"/>
      <c r="D14" s="505"/>
      <c r="E14" s="511"/>
      <c r="F14" s="525"/>
      <c r="G14" s="527" t="s">
        <v>167</v>
      </c>
      <c r="H14" s="484"/>
      <c r="I14" s="485"/>
    </row>
    <row r="15" spans="1:12" hidden="1" x14ac:dyDescent="0.3">
      <c r="B15" s="476" t="s">
        <v>115</v>
      </c>
      <c r="C15" s="508">
        <v>85790.92873</v>
      </c>
      <c r="D15" s="508">
        <v>79529.364400000006</v>
      </c>
      <c r="E15" s="511">
        <f t="shared" si="0"/>
        <v>-6261.5643299999938</v>
      </c>
      <c r="F15" s="525">
        <f t="shared" si="2"/>
        <v>-7.2986321778917923E-2</v>
      </c>
      <c r="G15" s="488">
        <v>96075</v>
      </c>
      <c r="H15" s="484">
        <f t="shared" si="1"/>
        <v>16545.635599999994</v>
      </c>
      <c r="I15" s="485">
        <f t="shared" si="3"/>
        <v>0.20804435851872585</v>
      </c>
    </row>
    <row r="16" spans="1:12" hidden="1" x14ac:dyDescent="0.3">
      <c r="B16" s="477" t="s">
        <v>69</v>
      </c>
      <c r="C16" s="509">
        <f>C5-C15</f>
        <v>49566.033570000014</v>
      </c>
      <c r="D16" s="509">
        <f>D5-D15</f>
        <v>39834.8992</v>
      </c>
      <c r="E16" s="511">
        <f t="shared" si="0"/>
        <v>-9731.1343700000143</v>
      </c>
      <c r="F16" s="525">
        <f t="shared" si="2"/>
        <v>-0.19632667109134613</v>
      </c>
      <c r="G16" s="509">
        <f>G5-G15</f>
        <v>54669</v>
      </c>
      <c r="H16" s="484">
        <f t="shared" si="1"/>
        <v>14834.1008</v>
      </c>
      <c r="I16" s="485">
        <f t="shared" si="3"/>
        <v>0.37238956537889267</v>
      </c>
    </row>
    <row r="17" spans="2:9" hidden="1" x14ac:dyDescent="0.3">
      <c r="B17" s="503" t="s">
        <v>70</v>
      </c>
      <c r="C17" s="510">
        <f>C16/C5</f>
        <v>0.36618754386747943</v>
      </c>
      <c r="D17" s="510">
        <f>D16/D5</f>
        <v>0.33372550542841029</v>
      </c>
      <c r="E17" s="511"/>
      <c r="F17" s="525">
        <f>D17-C17</f>
        <v>-3.2462038439069141E-2</v>
      </c>
      <c r="G17" s="510">
        <f>G16/G5</f>
        <v>0.36266120044578887</v>
      </c>
      <c r="H17" s="484"/>
      <c r="I17" s="485">
        <f>G17-D17</f>
        <v>2.8935695017378582E-2</v>
      </c>
    </row>
    <row r="18" spans="2:9" hidden="1" x14ac:dyDescent="0.3">
      <c r="B18" s="471" t="s">
        <v>167</v>
      </c>
      <c r="C18" s="505"/>
      <c r="D18" s="505"/>
      <c r="E18" s="511"/>
      <c r="F18" s="525"/>
      <c r="G18" s="527" t="s">
        <v>167</v>
      </c>
      <c r="H18" s="484"/>
      <c r="I18" s="485"/>
    </row>
    <row r="19" spans="2:9" hidden="1" x14ac:dyDescent="0.3">
      <c r="B19" s="473" t="s">
        <v>116</v>
      </c>
      <c r="C19" s="505"/>
      <c r="D19" s="505"/>
      <c r="E19" s="511"/>
      <c r="F19" s="525"/>
      <c r="G19" s="527" t="s">
        <v>167</v>
      </c>
      <c r="H19" s="484"/>
      <c r="I19" s="485"/>
    </row>
    <row r="20" spans="2:9" hidden="1" x14ac:dyDescent="0.3">
      <c r="B20" s="476" t="s">
        <v>120</v>
      </c>
      <c r="C20" s="508">
        <v>92647.529030000005</v>
      </c>
      <c r="D20" s="508">
        <v>84277.648499999996</v>
      </c>
      <c r="E20" s="511">
        <f t="shared" si="0"/>
        <v>-8369.8805300000095</v>
      </c>
      <c r="F20" s="525">
        <f t="shared" si="2"/>
        <v>-9.0341109122184751E-2</v>
      </c>
      <c r="G20" s="488">
        <v>103747</v>
      </c>
      <c r="H20" s="484">
        <f t="shared" si="1"/>
        <v>19469.351500000004</v>
      </c>
      <c r="I20" s="485">
        <f t="shared" si="3"/>
        <v>0.23101441303265605</v>
      </c>
    </row>
    <row r="21" spans="2:9" hidden="1" x14ac:dyDescent="0.3">
      <c r="B21" s="477" t="s">
        <v>69</v>
      </c>
      <c r="C21" s="509">
        <f>C6-C20</f>
        <v>6420.4701999999961</v>
      </c>
      <c r="D21" s="509">
        <f>D6-D20</f>
        <v>3023.5435500000021</v>
      </c>
      <c r="E21" s="511">
        <f t="shared" si="0"/>
        <v>-3396.926649999994</v>
      </c>
      <c r="F21" s="525">
        <f t="shared" si="2"/>
        <v>-0.52907755104914211</v>
      </c>
      <c r="G21" s="509">
        <f>G6-G20</f>
        <v>5153</v>
      </c>
      <c r="H21" s="484">
        <f t="shared" si="1"/>
        <v>2129.4564499999979</v>
      </c>
      <c r="I21" s="485">
        <f t="shared" si="3"/>
        <v>0.70429164150785806</v>
      </c>
    </row>
    <row r="22" spans="2:9" hidden="1" x14ac:dyDescent="0.3">
      <c r="B22" s="504" t="s">
        <v>70</v>
      </c>
      <c r="C22" s="510">
        <f>C21/C6</f>
        <v>6.4808719767257952E-2</v>
      </c>
      <c r="D22" s="510">
        <f>D21/D6</f>
        <v>3.463347382780671E-2</v>
      </c>
      <c r="E22" s="511"/>
      <c r="F22" s="525">
        <f>D22-C22</f>
        <v>-3.0175245939451242E-2</v>
      </c>
      <c r="G22" s="510">
        <f>G21/G6</f>
        <v>4.7318640955004591E-2</v>
      </c>
      <c r="H22" s="484"/>
      <c r="I22" s="485">
        <f>G22-D22</f>
        <v>1.2685167127197881E-2</v>
      </c>
    </row>
    <row r="23" spans="2:9" hidden="1" x14ac:dyDescent="0.3">
      <c r="B23" s="471" t="s">
        <v>167</v>
      </c>
      <c r="C23" s="505"/>
      <c r="D23" s="505"/>
      <c r="E23" s="511"/>
      <c r="F23" s="525"/>
      <c r="G23" s="527" t="s">
        <v>167</v>
      </c>
      <c r="H23" s="484"/>
      <c r="I23" s="485"/>
    </row>
    <row r="24" spans="2:9" hidden="1" x14ac:dyDescent="0.3">
      <c r="B24" s="473" t="s">
        <v>121</v>
      </c>
      <c r="C24" s="505"/>
      <c r="D24" s="505"/>
      <c r="E24" s="511"/>
      <c r="F24" s="525"/>
      <c r="G24" s="527" t="s">
        <v>167</v>
      </c>
      <c r="H24" s="484"/>
      <c r="I24" s="485"/>
    </row>
    <row r="25" spans="2:9" hidden="1" x14ac:dyDescent="0.3">
      <c r="B25" s="478" t="s">
        <v>123</v>
      </c>
      <c r="C25" s="508">
        <v>82409.998819999993</v>
      </c>
      <c r="D25" s="508">
        <v>72650.322700000004</v>
      </c>
      <c r="E25" s="511">
        <f t="shared" si="0"/>
        <v>-9759.6761199999892</v>
      </c>
      <c r="F25" s="525">
        <f t="shared" si="2"/>
        <v>-0.11842830068857402</v>
      </c>
      <c r="G25" s="488">
        <v>94277</v>
      </c>
      <c r="H25" s="484">
        <f t="shared" si="1"/>
        <v>21626.677299999996</v>
      </c>
      <c r="I25" s="485">
        <f t="shared" si="3"/>
        <v>0.29768177891383263</v>
      </c>
    </row>
    <row r="26" spans="2:9" hidden="1" x14ac:dyDescent="0.3">
      <c r="B26" s="475" t="s">
        <v>69</v>
      </c>
      <c r="C26" s="509">
        <f>C7-C25</f>
        <v>94846.463380000016</v>
      </c>
      <c r="D26" s="509">
        <f>D7-D25</f>
        <v>77694.303700000004</v>
      </c>
      <c r="E26" s="511">
        <f t="shared" si="0"/>
        <v>-17152.159680000012</v>
      </c>
      <c r="F26" s="525">
        <f t="shared" si="2"/>
        <v>-0.18084132047475832</v>
      </c>
      <c r="G26" s="509">
        <f>G7-G25</f>
        <v>97799</v>
      </c>
      <c r="H26" s="484">
        <f t="shared" si="1"/>
        <v>20104.696299999996</v>
      </c>
      <c r="I26" s="485">
        <f t="shared" si="3"/>
        <v>0.25876667068965564</v>
      </c>
    </row>
    <row r="27" spans="2:9" hidden="1" x14ac:dyDescent="0.3">
      <c r="B27" s="503" t="s">
        <v>70</v>
      </c>
      <c r="C27" s="510">
        <f>C26/C7</f>
        <v>0.53508042642182452</v>
      </c>
      <c r="D27" s="510">
        <f>D26/D7</f>
        <v>0.51677472990148721</v>
      </c>
      <c r="E27" s="511"/>
      <c r="F27" s="525">
        <f>D27-C27</f>
        <v>-1.8305696520337311E-2</v>
      </c>
      <c r="G27" s="510">
        <f>G26/G7</f>
        <v>0.50916824590266352</v>
      </c>
      <c r="H27" s="484"/>
      <c r="I27" s="485">
        <f>G27-D27</f>
        <v>-7.6064839988236876E-3</v>
      </c>
    </row>
    <row r="28" spans="2:9" x14ac:dyDescent="0.3">
      <c r="B28" s="528" t="s">
        <v>168</v>
      </c>
      <c r="C28" s="529">
        <f>SUM(C25,C20,C15,C10)</f>
        <v>800180.98358</v>
      </c>
      <c r="D28" s="529">
        <f>SUM(D25,D20,D15,D10)</f>
        <v>712321.91800000006</v>
      </c>
      <c r="E28" s="511">
        <f t="shared" si="0"/>
        <v>-87859.065579999937</v>
      </c>
      <c r="F28" s="525">
        <f t="shared" si="2"/>
        <v>-0.10979899220663748</v>
      </c>
      <c r="G28" s="529">
        <f>SUM(G25,G20,G15,G10)</f>
        <v>895705</v>
      </c>
      <c r="H28" s="530">
        <f t="shared" si="1"/>
        <v>183383.08199999994</v>
      </c>
      <c r="I28" s="531">
        <f t="shared" si="3"/>
        <v>0.25744410970097359</v>
      </c>
    </row>
    <row r="29" spans="2:9" x14ac:dyDescent="0.3">
      <c r="B29" s="522" t="s">
        <v>69</v>
      </c>
      <c r="C29" s="507">
        <f>C8-C28</f>
        <v>426566.31774999993</v>
      </c>
      <c r="D29" s="507">
        <f>D8-D28</f>
        <v>344047.08134999988</v>
      </c>
      <c r="E29" s="599">
        <f t="shared" si="0"/>
        <v>-82519.236400000053</v>
      </c>
      <c r="F29" s="600">
        <f t="shared" si="2"/>
        <v>-0.19344995834472462</v>
      </c>
      <c r="G29" s="507">
        <f>G8-G28</f>
        <v>454207</v>
      </c>
      <c r="H29" s="484">
        <f t="shared" si="1"/>
        <v>110159.91865000012</v>
      </c>
      <c r="I29" s="485">
        <f t="shared" si="3"/>
        <v>0.3201884992534908</v>
      </c>
    </row>
    <row r="30" spans="2:9" x14ac:dyDescent="0.3">
      <c r="B30" s="522" t="s">
        <v>70</v>
      </c>
      <c r="C30" s="602">
        <f>C29/C8</f>
        <v>0.34772142338322692</v>
      </c>
      <c r="D30" s="603">
        <f>D29/D8</f>
        <v>0.32568835469584712</v>
      </c>
      <c r="E30" s="604">
        <f>D30-C30</f>
        <v>-2.2033068687379809E-2</v>
      </c>
      <c r="F30" s="604">
        <f t="shared" si="2"/>
        <v>-6.3364139238257303E-2</v>
      </c>
      <c r="G30" s="532">
        <f>G29/G8</f>
        <v>0.33647156259074668</v>
      </c>
      <c r="H30" s="485">
        <f>G30-D30</f>
        <v>1.078320789489956E-2</v>
      </c>
      <c r="I30" s="485">
        <f t="shared" si="3"/>
        <v>3.3108975925681315E-2</v>
      </c>
    </row>
    <row r="31" spans="2:9" hidden="1" x14ac:dyDescent="0.3">
      <c r="B31" s="479" t="s">
        <v>71</v>
      </c>
      <c r="C31" s="505"/>
      <c r="D31" s="505"/>
      <c r="E31" s="534"/>
      <c r="F31" s="601"/>
      <c r="G31" s="527" t="s">
        <v>167</v>
      </c>
      <c r="H31" s="484"/>
      <c r="I31" s="485"/>
    </row>
    <row r="32" spans="2:9" x14ac:dyDescent="0.3">
      <c r="B32" s="522" t="s">
        <v>169</v>
      </c>
      <c r="C32" s="507">
        <v>289046.82329999999</v>
      </c>
      <c r="D32" s="507">
        <v>249388.0373</v>
      </c>
      <c r="E32" s="511">
        <f t="shared" si="0"/>
        <v>-39658.785999999993</v>
      </c>
      <c r="F32" s="525">
        <f t="shared" si="2"/>
        <v>-0.13720540342641432</v>
      </c>
      <c r="G32" s="493">
        <v>313505</v>
      </c>
      <c r="H32" s="484">
        <f t="shared" si="1"/>
        <v>64116.962700000004</v>
      </c>
      <c r="I32" s="485">
        <f t="shared" si="3"/>
        <v>0.25709718635329265</v>
      </c>
    </row>
    <row r="33" spans="2:19" x14ac:dyDescent="0.3">
      <c r="B33" s="524" t="s">
        <v>170</v>
      </c>
      <c r="C33" s="507">
        <f>C29-C32</f>
        <v>137519.49444999994</v>
      </c>
      <c r="D33" s="507">
        <f>D29-D32</f>
        <v>94659.04404999988</v>
      </c>
      <c r="E33" s="599">
        <f t="shared" si="0"/>
        <v>-42860.45040000006</v>
      </c>
      <c r="F33" s="600">
        <f t="shared" si="2"/>
        <v>-0.31166817891105242</v>
      </c>
      <c r="G33" s="507">
        <f>G29-G32</f>
        <v>140702</v>
      </c>
      <c r="H33" s="484">
        <f t="shared" si="1"/>
        <v>46042.95595000012</v>
      </c>
      <c r="I33" s="485">
        <f t="shared" si="3"/>
        <v>0.48640841889000863</v>
      </c>
    </row>
    <row r="34" spans="2:19" x14ac:dyDescent="0.3">
      <c r="B34" s="523" t="s">
        <v>171</v>
      </c>
      <c r="C34" s="602">
        <f>C33/C8</f>
        <v>0.1121009145900755</v>
      </c>
      <c r="D34" s="603">
        <f>D33/D8</f>
        <v>8.9607934451167201E-2</v>
      </c>
      <c r="E34" s="604">
        <f>D34-C34</f>
        <v>-2.2492980138908297E-2</v>
      </c>
      <c r="F34" s="604">
        <f t="shared" si="2"/>
        <v>-0.2006493900710748</v>
      </c>
      <c r="G34" s="532">
        <f>G33/G8</f>
        <v>0.10423049798801699</v>
      </c>
      <c r="H34" s="485">
        <f>G34-D34</f>
        <v>1.4622563536849792E-2</v>
      </c>
      <c r="I34" s="485">
        <f t="shared" si="3"/>
        <v>0.16318380315772721</v>
      </c>
    </row>
    <row r="37" spans="2:19" x14ac:dyDescent="0.3">
      <c r="B37" s="631" t="s">
        <v>172</v>
      </c>
      <c r="C37" s="631"/>
      <c r="D37" s="631"/>
      <c r="E37" s="631"/>
      <c r="F37" s="631"/>
      <c r="G37" s="631"/>
      <c r="H37" s="631"/>
      <c r="I37" s="631"/>
      <c r="J37" s="631"/>
      <c r="K37" s="631"/>
      <c r="L37" s="631"/>
      <c r="M37" s="631"/>
      <c r="N37" s="631"/>
      <c r="O37" s="631"/>
      <c r="P37" s="631"/>
      <c r="Q37" s="631"/>
      <c r="R37" s="631"/>
      <c r="S37" s="631"/>
    </row>
    <row r="39" spans="2:19" x14ac:dyDescent="0.3">
      <c r="F39" s="513"/>
    </row>
  </sheetData>
  <sheetProtection algorithmName="SHA-512" hashValue="tlWC8SCYTyKiarKkwER5PBmgcHX8ufGtwyt+ithdg/o/uqvR4RyrcAb+8YZ2cl8DpPFQT1aAx8tKebeavVPXGg==" saltValue="nBY8usJkODyYkNq/+7qXgw==" spinCount="100000" sheet="1" objects="1" scenarios="1"/>
  <mergeCells count="1">
    <mergeCell ref="B37:S3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E49B1B6CD66F478903CE867A080686" ma:contentTypeVersion="16" ma:contentTypeDescription="Create a new document." ma:contentTypeScope="" ma:versionID="1af4834efbbd1b2729b54b8ff046068e">
  <xsd:schema xmlns:xsd="http://www.w3.org/2001/XMLSchema" xmlns:xs="http://www.w3.org/2001/XMLSchema" xmlns:p="http://schemas.microsoft.com/office/2006/metadata/properties" xmlns:ns2="8ba1e6a2-84cd-4a33-9b85-fe41ea876599" xmlns:ns3="2e35ebcd-4537-48ad-bfb6-49619c10d153" targetNamespace="http://schemas.microsoft.com/office/2006/metadata/properties" ma:root="true" ma:fieldsID="77fd38da7a09c4504ee9c97cdb2fbe31" ns2:_="" ns3:_="">
    <xsd:import namespace="8ba1e6a2-84cd-4a33-9b85-fe41ea876599"/>
    <xsd:import namespace="2e35ebcd-4537-48ad-bfb6-49619c10d15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Locatio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a1e6a2-84cd-4a33-9b85-fe41ea8765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72e2998-82a8-4d98-ae4b-1f38996a4894"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35ebcd-4537-48ad-bfb6-49619c10d15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e04e80-5c3b-4c6e-8e59-298e2d49b0cc}" ma:internalName="TaxCatchAll" ma:showField="CatchAllData" ma:web="2e35ebcd-4537-48ad-bfb6-49619c10d15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e35ebcd-4537-48ad-bfb6-49619c10d153" xsi:nil="true"/>
    <lcf76f155ced4ddcb4097134ff3c332f xmlns="8ba1e6a2-84cd-4a33-9b85-fe41ea8765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62B24D-DF80-482A-9099-BAF8C6359D56}">
  <ds:schemaRefs>
    <ds:schemaRef ds:uri="http://schemas.microsoft.com/sharepoint/v3/contenttype/forms"/>
  </ds:schemaRefs>
</ds:datastoreItem>
</file>

<file path=customXml/itemProps2.xml><?xml version="1.0" encoding="utf-8"?>
<ds:datastoreItem xmlns:ds="http://schemas.openxmlformats.org/officeDocument/2006/customXml" ds:itemID="{5301C910-0F90-4662-A2CC-B01A5C549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a1e6a2-84cd-4a33-9b85-fe41ea876599"/>
    <ds:schemaRef ds:uri="2e35ebcd-4537-48ad-bfb6-49619c10d1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2AB8A4-D265-4E72-A2F5-7739A98E3B50}">
  <ds:schemaRefs>
    <ds:schemaRef ds:uri="http://schemas.microsoft.com/office/2006/metadata/properties"/>
    <ds:schemaRef ds:uri="http://schemas.microsoft.com/office/infopath/2007/PartnerControls"/>
    <ds:schemaRef ds:uri="2e35ebcd-4537-48ad-bfb6-49619c10d153"/>
    <ds:schemaRef ds:uri="8ba1e6a2-84cd-4a33-9b85-fe41ea8765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Balance Sheet</vt:lpstr>
      <vt:lpstr>Annual P&amp;L - Basic</vt:lpstr>
      <vt:lpstr>Updated Annual P&amp;L - SC &amp; COA</vt:lpstr>
      <vt:lpstr>TTM Original - Good</vt:lpstr>
      <vt:lpstr>TTM - 9 Mths Mess - 3 Mths Good</vt:lpstr>
      <vt:lpstr>TTM Orignal - With Levers</vt:lpstr>
      <vt:lpstr>TTM Orignal - Levers for Months</vt:lpstr>
      <vt:lpstr>TTM Orignal - Units and BE</vt:lpstr>
      <vt:lpstr>YOY Comparison w Variances</vt:lpstr>
      <vt:lpstr>Mar, Apr, May Comparison Report</vt:lpstr>
      <vt:lpstr>Cashflow statement</vt:lpstr>
      <vt:lpstr>Breakeven Calculator</vt:lpstr>
      <vt:lpstr>Breakeven Scenario</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Scroggs</dc:creator>
  <cp:keywords/>
  <dc:description/>
  <cp:lastModifiedBy>Kim Dudas</cp:lastModifiedBy>
  <cp:revision/>
  <dcterms:created xsi:type="dcterms:W3CDTF">2025-04-11T16:38:25Z</dcterms:created>
  <dcterms:modified xsi:type="dcterms:W3CDTF">2025-06-24T20:39:32Z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0x010100B6E49B1B6CD66F478903CE867A080686</vt:lpwstr>
  </property>
  <property fmtid="{D5CDD505-2E9C-101B-9397-08002B2CF9AE}" pid="3" name="MediaServiceImageTags">
    <vt:lpwstr/>
  </property>
</Properties>
</file>